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190" windowHeight="10410" tabRatio="838" activeTab="2"/>
  </bookViews>
  <sheets>
    <sheet name="Kapılar" sheetId="1" r:id="rId1"/>
    <sheet name="Giriş İstatistikleri" sheetId="2" r:id="rId2"/>
    <sheet name="Karşılaştırmalı Hareketler-1" sheetId="3" r:id="rId3"/>
    <sheet name="Karşılaştırmalı Hareketler-2" sheetId="4" r:id="rId4"/>
    <sheet name="MİLLİYETLERE GÖRE" sheetId="5" r:id="rId5"/>
    <sheet name="3 Yıllık Karşılaştırma" sheetId="6" r:id="rId6"/>
    <sheet name="Yeni tablo-1" sheetId="7" r:id="rId7"/>
    <sheet name="yeni tablo-2" sheetId="8" r:id="rId8"/>
    <sheet name="Yeni tablo-3" sheetId="9" r:id="rId9"/>
    <sheet name="Yeni tablo-4" sheetId="10" r:id="rId10"/>
  </sheets>
  <definedNames>
    <definedName name="_xlnm.Print_Area" localSheetId="5">'3 Yıllık Karşılaştırma'!$B$3:$O$57</definedName>
    <definedName name="_xlnm.Print_Area" localSheetId="1">'Giriş İstatistikleri'!$C$4:$W$55</definedName>
    <definedName name="_xlnm.Print_Area" localSheetId="0">'Kapılar'!$B$4:$L$53,'Kapılar'!$N$4:$W$48,'Kapılar'!$B$70:$L$118,'Kapılar'!$N$70:$W$112,'Kapılar'!$B$123:$L$172,'Kapılar'!$N$123:$W$166,'Kapılar'!$B$188:$L$236,'Kapılar'!$N$188:$W$232,'Kapılar'!$B$252:$L$300,'Kapılar'!$N$252:$W$296,'Kapılar'!$B$314:$L$362,'Kapılar'!$N$314:$W$358</definedName>
    <definedName name="_xlnm.Print_Area" localSheetId="2">'Karşılaştırmalı Hareketler-1'!$B$2:$J$45</definedName>
    <definedName name="_xlnm.Print_Area" localSheetId="3">'Karşılaştırmalı Hareketler-2'!$A$1:$C$46</definedName>
  </definedNames>
  <calcPr fullCalcOnLoad="1"/>
</workbook>
</file>

<file path=xl/sharedStrings.xml><?xml version="1.0" encoding="utf-8"?>
<sst xmlns="http://schemas.openxmlformats.org/spreadsheetml/2006/main" count="1367" uniqueCount="315">
  <si>
    <t>SINIR KAPILARI</t>
  </si>
  <si>
    <t>A. MENDERES</t>
  </si>
  <si>
    <t>ALSANCAK</t>
  </si>
  <si>
    <t xml:space="preserve">ÇEŞME </t>
  </si>
  <si>
    <t xml:space="preserve">DİKİLİ </t>
  </si>
  <si>
    <t>FOÇA</t>
  </si>
  <si>
    <t>TOPLAM</t>
  </si>
  <si>
    <t>HAVALİMANI</t>
  </si>
  <si>
    <t>DENİZ LİMANI</t>
  </si>
  <si>
    <t>MİLLİYETİ</t>
  </si>
  <si>
    <t>GİRİŞ</t>
  </si>
  <si>
    <t>ÇIKIŞ</t>
  </si>
  <si>
    <t>G.BİR.</t>
  </si>
  <si>
    <t>G. BİR.</t>
  </si>
  <si>
    <t>ALMANYA</t>
  </si>
  <si>
    <t>AVUSTURYA</t>
  </si>
  <si>
    <t>BELÇİKA</t>
  </si>
  <si>
    <t>DANİMARKA</t>
  </si>
  <si>
    <t>FİNLANDİYA</t>
  </si>
  <si>
    <t>FRANSA</t>
  </si>
  <si>
    <t>HOLLANDA</t>
  </si>
  <si>
    <t>İNGİLTERE</t>
  </si>
  <si>
    <t>İRLANDA</t>
  </si>
  <si>
    <t>İSPANYA</t>
  </si>
  <si>
    <t>İSVEÇ</t>
  </si>
  <si>
    <t>İSVİÇRE</t>
  </si>
  <si>
    <t>İTALYA</t>
  </si>
  <si>
    <t>LÜKSEMBURG</t>
  </si>
  <si>
    <t>NORVEÇ</t>
  </si>
  <si>
    <t>PORTEKİZ</t>
  </si>
  <si>
    <t>YUNANİSTAN</t>
  </si>
  <si>
    <t>A.B.D.</t>
  </si>
  <si>
    <t>AVUSTRALYA</t>
  </si>
  <si>
    <t>JAPONYA</t>
  </si>
  <si>
    <t>KANADA</t>
  </si>
  <si>
    <t>BULGARİSTAN</t>
  </si>
  <si>
    <t>ÇEK CUMHURİYETİ</t>
  </si>
  <si>
    <t>MACARİSTAN</t>
  </si>
  <si>
    <t>POLONYA</t>
  </si>
  <si>
    <t>ROMANYA</t>
  </si>
  <si>
    <t>YUGOSLAVYA</t>
  </si>
  <si>
    <t>CEZAYİR</t>
  </si>
  <si>
    <t>FAS</t>
  </si>
  <si>
    <t>LİBYA</t>
  </si>
  <si>
    <t>MISIR</t>
  </si>
  <si>
    <t>TUNUS</t>
  </si>
  <si>
    <t>ÇİN</t>
  </si>
  <si>
    <t>SURİYE</t>
  </si>
  <si>
    <t>K.K.T.C.</t>
  </si>
  <si>
    <t>İSRAİL</t>
  </si>
  <si>
    <t>FİLİPİNLER</t>
  </si>
  <si>
    <t>İRAN</t>
  </si>
  <si>
    <t>G.KORE</t>
  </si>
  <si>
    <t>PAKİSTAN</t>
  </si>
  <si>
    <t>DİĞERLERİ</t>
  </si>
  <si>
    <t>YABANCI TOPLAM</t>
  </si>
  <si>
    <t>TÜRK TOPLAM</t>
  </si>
  <si>
    <t xml:space="preserve">GENEL TOPLAM </t>
  </si>
  <si>
    <t>S. NO</t>
  </si>
  <si>
    <t>G.BÇ</t>
  </si>
  <si>
    <t>S.NO</t>
  </si>
  <si>
    <t>G.BÇ.</t>
  </si>
  <si>
    <t xml:space="preserve"> S.NO</t>
  </si>
  <si>
    <t>KATAR</t>
  </si>
  <si>
    <t>KUVEYT</t>
  </si>
  <si>
    <t>UMMAN</t>
  </si>
  <si>
    <t>IRAK</t>
  </si>
  <si>
    <t>LÜBNAN</t>
  </si>
  <si>
    <t>ÜRDÜN</t>
  </si>
  <si>
    <t>S.ARABİSTAN</t>
  </si>
  <si>
    <t>YEMEN</t>
  </si>
  <si>
    <t>İZLANDA</t>
  </si>
  <si>
    <t>BANGLADEŞ</t>
  </si>
  <si>
    <t>LÜKSENBURG</t>
  </si>
  <si>
    <t>ÇİN HALK CUM.</t>
  </si>
  <si>
    <t>MALEZYA</t>
  </si>
  <si>
    <t>HİNDİSTAN</t>
  </si>
  <si>
    <t>G. KORE</t>
  </si>
  <si>
    <t>SİNGAPUR</t>
  </si>
  <si>
    <t>YENİ ZELLANDA</t>
  </si>
  <si>
    <t>AZERBEYCAN</t>
  </si>
  <si>
    <t>ARNAVUTLUK</t>
  </si>
  <si>
    <t>MEKSİKA</t>
  </si>
  <si>
    <t>ARJANTİN</t>
  </si>
  <si>
    <t>BREZİLYA</t>
  </si>
  <si>
    <t>KOLOMBİYA</t>
  </si>
  <si>
    <t>RUSYA FED.</t>
  </si>
  <si>
    <t>ŞİLİ</t>
  </si>
  <si>
    <t>VENEZUELLA</t>
  </si>
  <si>
    <t>EK LİSTE</t>
  </si>
  <si>
    <t>SUDAN</t>
  </si>
  <si>
    <t>GENEL TOPLAM</t>
  </si>
  <si>
    <t>B.A.EMİRLİK</t>
  </si>
  <si>
    <t>BAHREYN</t>
  </si>
  <si>
    <t xml:space="preserve">İZMİR KÜLTÜR VE TURİZM  MÜDÜRLÜĞÜ </t>
  </si>
  <si>
    <t>AZERBAYCAN</t>
  </si>
  <si>
    <t>İZMİR KÜLTÜR VE TURİZM MÜDÜRLÜĞÜ</t>
  </si>
  <si>
    <t>İZMİR İLİ SINIR KAPILARINDAN GİRİŞ YAPAN TURİSTLERİN SON ÜÇ YILLIK KARŞILAŞTIRMALI TABLOSU</t>
  </si>
  <si>
    <t>A.MEND.</t>
  </si>
  <si>
    <t>ÇEŞME</t>
  </si>
  <si>
    <t>DEĞİŞİM</t>
  </si>
  <si>
    <t>HAVA LİM.</t>
  </si>
  <si>
    <t>LİMANI</t>
  </si>
  <si>
    <t>%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</si>
  <si>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</si>
  <si>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</si>
  <si>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</si>
  <si>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</si>
  <si>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</si>
  <si>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</si>
  <si>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</si>
  <si>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</si>
  <si>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</si>
  <si>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</si>
  <si>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</si>
  <si>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</si>
  <si>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TESİS</t>
  </si>
  <si>
    <t>ODA</t>
  </si>
  <si>
    <t>YATAK</t>
  </si>
  <si>
    <t>TURİZM İŞLETME BELG. KON. TES.</t>
  </si>
  <si>
    <t>TURİZM YAT. BELG. KON. TES.</t>
  </si>
  <si>
    <t>B</t>
  </si>
  <si>
    <t>C</t>
  </si>
  <si>
    <t>TURİZM SEYAHAT ACENTALARI</t>
  </si>
  <si>
    <t>HAVAYOLU</t>
  </si>
  <si>
    <t>DENİZYOLU</t>
  </si>
  <si>
    <t xml:space="preserve">İZMİR  KÜLTÜR VE TURİZM  MÜDÜRLÜĞÜ </t>
  </si>
  <si>
    <t>RUSYA</t>
  </si>
  <si>
    <t xml:space="preserve">                                                           İZMİR KÜLTÜR VE TURİZM  MÜDÜRLÜĞÜ </t>
  </si>
  <si>
    <t>GBÇ.</t>
  </si>
  <si>
    <t xml:space="preserve">ÇİN                                </t>
  </si>
  <si>
    <t xml:space="preserve">FAS           </t>
  </si>
  <si>
    <t>G.BİRLİK</t>
  </si>
  <si>
    <t>G. BİRLİK</t>
  </si>
  <si>
    <t>G.B.Ç.</t>
  </si>
  <si>
    <t>2006-2007%</t>
  </si>
  <si>
    <t>2007-2008%</t>
  </si>
  <si>
    <t>ALİAĞA</t>
  </si>
  <si>
    <t>ENDONEZYA</t>
  </si>
  <si>
    <t>GÜRCİSTAN</t>
  </si>
  <si>
    <t>HIRVATİSTAN</t>
  </si>
  <si>
    <t>LİTVANYA</t>
  </si>
  <si>
    <t>S.KARADAĞ</t>
  </si>
  <si>
    <t>UKRAYNA</t>
  </si>
  <si>
    <t>KIBRIS RUM KESİMİ</t>
  </si>
  <si>
    <t>MOLDOVA</t>
  </si>
  <si>
    <t>TAYVAN</t>
  </si>
  <si>
    <t>ESTONYA</t>
  </si>
  <si>
    <t>MYANMAR</t>
  </si>
  <si>
    <t>G.AFRİKA</t>
  </si>
  <si>
    <t>RUSYA FEDERASYON</t>
  </si>
  <si>
    <t>2009 İZMİR İLİ SINIR KAPILARINDAN GİRİŞ YAPAN TURİSTLERİN ÜLKELERİNE GÖRE DAĞILIMI</t>
  </si>
  <si>
    <t>A-AG</t>
  </si>
  <si>
    <t>BELARUS</t>
  </si>
  <si>
    <t>BOSNA-HERSEK</t>
  </si>
  <si>
    <t>GÜNEY AFRİKA CUMH.</t>
  </si>
  <si>
    <t>HAYMATLOS</t>
  </si>
  <si>
    <t>KAZAKİSTAN</t>
  </si>
  <si>
    <t>KIRGIZİSTAN</t>
  </si>
  <si>
    <t>KÜBA</t>
  </si>
  <si>
    <t>LETONYA</t>
  </si>
  <si>
    <t>LİHTENŞTAYN</t>
  </si>
  <si>
    <t>MAKEDONYA</t>
  </si>
  <si>
    <t>MALTA</t>
  </si>
  <si>
    <t>MOĞOLİSTAN</t>
  </si>
  <si>
    <t>NİJERYA</t>
  </si>
  <si>
    <t>PERU</t>
  </si>
  <si>
    <t>SIRBİSTAN</t>
  </si>
  <si>
    <t>SLOVAKYA</t>
  </si>
  <si>
    <t>SLOVENYA</t>
  </si>
  <si>
    <t>TAYLAND</t>
  </si>
  <si>
    <t>URUGUAY</t>
  </si>
  <si>
    <t>VİETNAM</t>
  </si>
  <si>
    <t>KARADAĞ</t>
  </si>
  <si>
    <t>KOSOVA</t>
  </si>
  <si>
    <t>BOLİVYA</t>
  </si>
  <si>
    <t>DOMİNİK CUMH.</t>
  </si>
  <si>
    <t>EKVATOR</t>
  </si>
  <si>
    <t>GUATEMALA</t>
  </si>
  <si>
    <t>HONG KONG</t>
  </si>
  <si>
    <t>KIB.RUM KESİMİ</t>
  </si>
  <si>
    <t>MORİTANYA</t>
  </si>
  <si>
    <t>PARAGUAY</t>
  </si>
  <si>
    <t>PANAMA</t>
  </si>
  <si>
    <t>SAN MARİNO</t>
  </si>
  <si>
    <t>SRİ LANKA</t>
  </si>
  <si>
    <t>TRİNİDAD TOBAGO</t>
  </si>
  <si>
    <t>OMAN</t>
  </si>
  <si>
    <t>2008-2009%</t>
  </si>
  <si>
    <t>MALDİVE ADALARI</t>
  </si>
  <si>
    <t>MOLDOVA CUMHURİYETİ</t>
  </si>
  <si>
    <t>DOMİNİK</t>
  </si>
  <si>
    <t>FİLDİŞİ SAHİLİ</t>
  </si>
  <si>
    <t>GUETEMALA</t>
  </si>
  <si>
    <t>ÖZBEKİSTAN</t>
  </si>
  <si>
    <t>TANZANYA</t>
  </si>
  <si>
    <t>ANDORA</t>
  </si>
  <si>
    <t>ERMENİSTAN</t>
  </si>
  <si>
    <t>HONDURAS</t>
  </si>
  <si>
    <t>KOSTARİKA</t>
  </si>
  <si>
    <t>KONGO</t>
  </si>
  <si>
    <t>NİKARAGUA</t>
  </si>
  <si>
    <t>JAMAIKA</t>
  </si>
  <si>
    <t>KİRİBATİ</t>
  </si>
  <si>
    <t>MALDİV ADALARI</t>
  </si>
  <si>
    <t>AFGANİSTAN</t>
  </si>
  <si>
    <t>ETYOPYA</t>
  </si>
  <si>
    <t>KOMOR</t>
  </si>
  <si>
    <t>NEPAL</t>
  </si>
  <si>
    <t>TÜRKMENİSTAN</t>
  </si>
  <si>
    <t>BAHAMA</t>
  </si>
  <si>
    <t xml:space="preserve">       PROFESYONEL TURİST REHBERİ BULUNMAKTADIR</t>
  </si>
  <si>
    <t>BURKİNA FASO</t>
  </si>
  <si>
    <t>KAMERUN</t>
  </si>
  <si>
    <t>SENEGAL</t>
  </si>
  <si>
    <t>SOMALİ</t>
  </si>
  <si>
    <t>ZAMBİA</t>
  </si>
  <si>
    <t>MUHTELİF</t>
  </si>
  <si>
    <t>08/07%</t>
  </si>
  <si>
    <t xml:space="preserve">    09/08%</t>
  </si>
  <si>
    <t>07/06%</t>
  </si>
  <si>
    <t>BEYAZ RUSYA</t>
  </si>
  <si>
    <t>EL SALVADOR</t>
  </si>
  <si>
    <t>MAURITIUS</t>
  </si>
  <si>
    <t>GRENADA</t>
  </si>
  <si>
    <t>KENYA</t>
  </si>
  <si>
    <t>SALVADOR</t>
  </si>
  <si>
    <t>AYLAR</t>
  </si>
  <si>
    <t>YILLAR</t>
  </si>
  <si>
    <t>% DEĞİŞİM ORANI</t>
  </si>
  <si>
    <t>Years</t>
  </si>
  <si>
    <t>Rate of Change (%)</t>
  </si>
  <si>
    <t>2008/2007</t>
  </si>
  <si>
    <t>2009/2008</t>
  </si>
  <si>
    <t xml:space="preserve">         MİLLİYET PAYI(%)</t>
  </si>
  <si>
    <t>MİLLİYET</t>
  </si>
  <si>
    <t>ANGOLA</t>
  </si>
  <si>
    <t>BELİZE</t>
  </si>
  <si>
    <t>GAYRİ MUNT.</t>
  </si>
  <si>
    <t>NAMİBYA</t>
  </si>
  <si>
    <t>RUANDA</t>
  </si>
  <si>
    <t>SURİNAM</t>
  </si>
  <si>
    <t>TOGO</t>
  </si>
  <si>
    <t>ZİMBABVE</t>
  </si>
  <si>
    <t>09/08%</t>
  </si>
  <si>
    <t>HAİTİ</t>
  </si>
  <si>
    <t>MYAMMAR</t>
  </si>
  <si>
    <t>BENİN</t>
  </si>
  <si>
    <t>CAPE VERDE</t>
  </si>
  <si>
    <t>GAMBİA</t>
  </si>
  <si>
    <t>TACİKİSTAN</t>
  </si>
  <si>
    <t>MONACO</t>
  </si>
  <si>
    <t>SAN MARINO</t>
  </si>
  <si>
    <t>İZMİR'E GELEN YABANCILARIN YILLARA VE AYLARA GÖRE DAĞILIMI</t>
  </si>
  <si>
    <t>KAMBOÇYA</t>
  </si>
  <si>
    <t>VATİKAN</t>
  </si>
  <si>
    <t>BOSNA HERSEK</t>
  </si>
  <si>
    <t>HAVA</t>
  </si>
  <si>
    <t>DENİZ</t>
  </si>
  <si>
    <t>DEĞİŞİM ORANI (%)</t>
  </si>
  <si>
    <t>2008/07</t>
  </si>
  <si>
    <t>2009/08</t>
  </si>
  <si>
    <t>İZMİR'E GELEN YABANCILARIN GİRİŞ YOLUNA VE AYLARA GÖRE DAĞILIMI</t>
  </si>
  <si>
    <t>DİĞER</t>
  </si>
  <si>
    <t>İZMİR İLİNE GELEN YABANCI ZİYARETÇİ SAYILARI</t>
  </si>
  <si>
    <t xml:space="preserve">2008-2009 DEĞİŞİM ORANI </t>
  </si>
  <si>
    <t>A.MENDERES</t>
  </si>
  <si>
    <t>DİKİLİ</t>
  </si>
  <si>
    <t>DEĞİŞİM ORANI(%)</t>
  </si>
  <si>
    <t>ALSANCAK(*)</t>
  </si>
  <si>
    <t>(*) Turist+Günübirlikçi</t>
  </si>
  <si>
    <t>DİKİLİ(*)</t>
  </si>
  <si>
    <t>FOÇA(*)</t>
  </si>
  <si>
    <t>2007-2008 DEĞİŞİM ORANI</t>
  </si>
  <si>
    <t>-</t>
  </si>
  <si>
    <t>2006-2007 DEĞİŞİM ORANI</t>
  </si>
  <si>
    <t>2005-2006 DEĞİŞİM ORANI</t>
  </si>
  <si>
    <t>PORTORİKO</t>
  </si>
  <si>
    <t>10 AYLIK TOPLAM</t>
  </si>
  <si>
    <t>İZMİR İLİ ADNAN MENDERES HAVALİMANI SINIR GİRİŞ-ÇIKIŞ İSTATİSTİKLERİ KASIM 2009</t>
  </si>
  <si>
    <t>ADNAN MENDERES HAVALİMANI EK LİSTE KASIM 2009</t>
  </si>
  <si>
    <t>İZMİR İLİ ALSANCAK DENİZ LİMAN SINIR GİRİŞ-ÇIKIŞ İSTATİSTİKLERİ KASIM 2009</t>
  </si>
  <si>
    <t>İZMİR İLİ ALSANCAK DENİZ LİMANI EK LİSTE KASIM 2009</t>
  </si>
  <si>
    <t>ÇEŞME DENİZ LİMANI GİRİŞ-ÇIKIŞ İSTATİSTİKLERİ KASIM 2009</t>
  </si>
  <si>
    <t>ÇEŞME DENİZ LİMANI EK LİSTE KASIM 2009</t>
  </si>
  <si>
    <t>DİKİLİ DENİZ LİMANI GİRİŞ-ÇIKIŞ İSTATİSTİKLERİ KASIM 2009</t>
  </si>
  <si>
    <t>DİKİLİ DENİZ LİMANI KASIM 2009 EK LİSTE</t>
  </si>
  <si>
    <t>ALİAĞA DENİZ LİMANI GİRİŞ-ÇIKIŞ İSTATİSTİKLERİ KASIM 2009</t>
  </si>
  <si>
    <t>ALİAĞA DENİZ LİMANI KASIM 2009 EK LİSTE</t>
  </si>
  <si>
    <t>FOÇA DENİZ LİMANI GİRİŞ-ÇIKIŞ İSTATİSTİKLERİ KASIM 2009</t>
  </si>
  <si>
    <t>FOÇA DENİZ LİMANI KASIM 2009 EK LİSTE</t>
  </si>
  <si>
    <t>FİLDİŞİ</t>
  </si>
  <si>
    <t>FİLİSTİN</t>
  </si>
  <si>
    <t>JAMAİKA</t>
  </si>
  <si>
    <t>LIHTENSTAYN</t>
  </si>
  <si>
    <t>MALAGAZİ</t>
  </si>
  <si>
    <t xml:space="preserve"> </t>
  </si>
  <si>
    <t>GRANADA</t>
  </si>
  <si>
    <t>İZMİR İLİ SINIR KAPILARI GİRİŞ-ÇIKIŞ İSTATİSTİKLERİ KASIM 2009</t>
  </si>
  <si>
    <t>İZMİR TURİZM HAREKETLERİ KASIM 2009</t>
  </si>
  <si>
    <t xml:space="preserve">    2006-2007-2008-2009 YILLARI İZMİR KASIM  AYI TURİZM HAREKETLERİ</t>
  </si>
  <si>
    <t xml:space="preserve">2009 Kasım ayında  havayolu girişlerinde %33,76 artış, denizyolu girişlerinde ise  %21,14 oranında </t>
  </si>
  <si>
    <t>azalma görülmektedir. Toplam girişlerde   %1,33 oranında azalma gerçekleşmiştir.</t>
  </si>
  <si>
    <t>Toplam girişlerin %49'unu havayolu, % 51'ini denizyolu girişleri oluşturmuştur.</t>
  </si>
  <si>
    <t>2007-2008-2009 YILLARI  ONBİR AYLIK DÖNEMDE İZMİR'E GİRİŞ YAPAN İLK BEŞ ÜLKE</t>
  </si>
  <si>
    <t>2006-2009 YILLARI OCAK-KASIM DÖNEMDE TOPLAM TURİZM HAREKETLERİ</t>
  </si>
  <si>
    <t>11 AYLIK TOPLAM</t>
  </si>
  <si>
    <r>
      <t xml:space="preserve"> 2007-2009 YILLARI </t>
    </r>
    <r>
      <rPr>
        <b/>
        <u val="single"/>
        <sz val="9"/>
        <rFont val="Arial"/>
        <family val="2"/>
      </rPr>
      <t>KASIM</t>
    </r>
    <r>
      <rPr>
        <b/>
        <sz val="9"/>
        <rFont val="Arial"/>
        <family val="2"/>
      </rPr>
      <t xml:space="preserve"> AYINDA İZMİR'E GELEN YABANCILARIN MİLLİYETLERİNE GÖRE KARŞILAŞTIRILMASI </t>
    </r>
  </si>
  <si>
    <r>
      <t xml:space="preserve"> 2007-2009 YILLARI </t>
    </r>
    <r>
      <rPr>
        <b/>
        <u val="single"/>
        <sz val="9"/>
        <rFont val="Arial"/>
        <family val="2"/>
      </rPr>
      <t>İLK ONBİR AYINDA</t>
    </r>
    <r>
      <rPr>
        <b/>
        <sz val="9"/>
        <rFont val="Arial"/>
        <family val="2"/>
      </rPr>
      <t xml:space="preserve"> İZMİR'E GELEN YABANCILARIN MİLLİYETLERİNE GÖRE KARŞILAŞTIRILMASI </t>
    </r>
  </si>
  <si>
    <t xml:space="preserve">01.01.2009-30.11.2009 TARİHLERİ ARASI     </t>
  </si>
  <si>
    <t xml:space="preserve">01.01.2008-30.11.2008 TARİHLERİ ARASI </t>
  </si>
  <si>
    <t>01.01.2007-30.11.2007 TARİHLERİ ARASI</t>
  </si>
  <si>
    <t>01.01.2006-30.11.2006 TARİHLERİ ARASI</t>
  </si>
  <si>
    <t>01.01.2005-30.11.2005 TARİHLERİ ARASI</t>
  </si>
  <si>
    <t>İZMİR KÜLTÜR VE TURİZM MÜDÜRLÜĞÜNE KAYITLI 1442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</si>
</sst>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#,##0.00_ ;[Red]\-#,##0.00\ "/>
    <numFmt numFmtId="173" formatCode="0.000%"/>
    <numFmt numFmtId="174" formatCode="0.0%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##\ ###\ ###"/>
    <numFmt numFmtId="185" formatCode="0.00000000"/>
  </numFmts>
  <fonts count="50">
    <font>
      <sz val="10"/>
      <name val="Arial"/>
      <family val="0"/>
    </font>
    <font>
      <b/>
      <sz val="8"/>
      <name val="Arial Tur"/>
      <family val="2"/>
    </font>
    <font>
      <b/>
      <sz val="8"/>
      <color indexed="8"/>
      <name val="Arial Tur"/>
      <family val="2"/>
    </font>
    <font>
      <sz val="8"/>
      <name val="Arial"/>
      <family val="0"/>
    </font>
    <font>
      <sz val="10"/>
      <name val="Arial Black"/>
      <family val="2"/>
    </font>
    <font>
      <sz val="10"/>
      <color indexed="8"/>
      <name val="Arial Black"/>
      <family val="2"/>
    </font>
    <font>
      <b/>
      <sz val="14"/>
      <name val="Arial Tur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 Tur"/>
      <family val="2"/>
    </font>
    <font>
      <b/>
      <sz val="14"/>
      <name val="Arial Black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8"/>
      <name val="Arial Tu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16" borderId="5" applyNumberFormat="0" applyAlignment="0" applyProtection="0"/>
    <xf numFmtId="0" fontId="40" fillId="7" borderId="6" applyNumberFormat="0" applyAlignment="0" applyProtection="0"/>
    <xf numFmtId="0" fontId="41" fillId="16" borderId="6" applyNumberFormat="0" applyAlignment="0" applyProtection="0"/>
    <xf numFmtId="0" fontId="42" fillId="17" borderId="7" applyNumberFormat="0" applyAlignment="0" applyProtection="0"/>
    <xf numFmtId="0" fontId="43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0" fillId="18" borderId="8" applyNumberFormat="0" applyFont="0" applyAlignment="0" applyProtection="0"/>
    <xf numFmtId="0" fontId="45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Border="1" applyAlignment="1" applyProtection="1">
      <alignment/>
      <protection hidden="1"/>
    </xf>
    <xf numFmtId="1" fontId="14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center"/>
      <protection hidden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7" fillId="0" borderId="12" xfId="0" applyFont="1" applyBorder="1" applyAlignment="1">
      <alignment/>
    </xf>
    <xf numFmtId="3" fontId="16" fillId="0" borderId="0" xfId="0" applyNumberFormat="1" applyFont="1" applyAlignment="1">
      <alignment/>
    </xf>
    <xf numFmtId="0" fontId="16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5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15" fillId="0" borderId="12" xfId="0" applyFont="1" applyBorder="1" applyAlignment="1">
      <alignment/>
    </xf>
    <xf numFmtId="0" fontId="22" fillId="0" borderId="11" xfId="0" applyFont="1" applyBorder="1" applyAlignment="1">
      <alignment/>
    </xf>
    <xf numFmtId="0" fontId="15" fillId="0" borderId="11" xfId="0" applyFont="1" applyBorder="1" applyAlignment="1">
      <alignment/>
    </xf>
    <xf numFmtId="3" fontId="15" fillId="0" borderId="12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19" fillId="0" borderId="11" xfId="0" applyFont="1" applyBorder="1" applyAlignment="1">
      <alignment/>
    </xf>
    <xf numFmtId="0" fontId="23" fillId="0" borderId="12" xfId="0" applyFont="1" applyBorder="1" applyAlignment="1">
      <alignment/>
    </xf>
    <xf numFmtId="3" fontId="19" fillId="0" borderId="12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1" fontId="18" fillId="0" borderId="12" xfId="0" applyNumberFormat="1" applyFont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11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2" xfId="0" applyFont="1" applyBorder="1" applyAlignment="1">
      <alignment horizontal="right"/>
    </xf>
    <xf numFmtId="0" fontId="19" fillId="0" borderId="12" xfId="0" applyFont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2" fontId="15" fillId="0" borderId="11" xfId="0" applyNumberFormat="1" applyFont="1" applyBorder="1" applyAlignment="1">
      <alignment/>
    </xf>
    <xf numFmtId="0" fontId="20" fillId="0" borderId="23" xfId="0" applyFont="1" applyBorder="1" applyAlignment="1">
      <alignment/>
    </xf>
    <xf numFmtId="2" fontId="20" fillId="0" borderId="11" xfId="0" applyNumberFormat="1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19" fillId="0" borderId="20" xfId="0" applyFont="1" applyFill="1" applyBorder="1" applyAlignment="1">
      <alignment/>
    </xf>
    <xf numFmtId="0" fontId="15" fillId="0" borderId="23" xfId="0" applyFont="1" applyBorder="1" applyAlignment="1">
      <alignment/>
    </xf>
    <xf numFmtId="0" fontId="6" fillId="0" borderId="0" xfId="0" applyFont="1" applyBorder="1" applyAlignment="1">
      <alignment/>
    </xf>
    <xf numFmtId="2" fontId="24" fillId="0" borderId="11" xfId="0" applyNumberFormat="1" applyFont="1" applyBorder="1" applyAlignment="1">
      <alignment/>
    </xf>
    <xf numFmtId="0" fontId="24" fillId="0" borderId="15" xfId="0" applyFont="1" applyFill="1" applyBorder="1" applyAlignment="1">
      <alignment/>
    </xf>
    <xf numFmtId="0" fontId="24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9" fillId="0" borderId="27" xfId="0" applyFont="1" applyBorder="1" applyAlignment="1">
      <alignment/>
    </xf>
    <xf numFmtId="0" fontId="0" fillId="0" borderId="13" xfId="0" applyBorder="1" applyAlignment="1">
      <alignment/>
    </xf>
    <xf numFmtId="0" fontId="8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15" fillId="0" borderId="28" xfId="0" applyFont="1" applyBorder="1" applyAlignment="1" applyProtection="1">
      <alignment/>
      <protection hidden="1"/>
    </xf>
    <xf numFmtId="0" fontId="15" fillId="0" borderId="29" xfId="0" applyFont="1" applyBorder="1" applyAlignment="1" applyProtection="1">
      <alignment/>
      <protection hidden="1"/>
    </xf>
    <xf numFmtId="0" fontId="15" fillId="0" borderId="30" xfId="0" applyFont="1" applyBorder="1" applyAlignment="1" applyProtection="1">
      <alignment/>
      <protection hidden="1"/>
    </xf>
    <xf numFmtId="0" fontId="15" fillId="0" borderId="31" xfId="0" applyFont="1" applyBorder="1" applyAlignment="1" applyProtection="1">
      <alignment/>
      <protection hidden="1"/>
    </xf>
    <xf numFmtId="3" fontId="15" fillId="0" borderId="32" xfId="0" applyNumberFormat="1" applyFont="1" applyBorder="1" applyAlignment="1" applyProtection="1">
      <alignment/>
      <protection hidden="1"/>
    </xf>
    <xf numFmtId="3" fontId="15" fillId="0" borderId="33" xfId="0" applyNumberFormat="1" applyFont="1" applyBorder="1" applyAlignment="1" applyProtection="1">
      <alignment/>
      <protection hidden="1"/>
    </xf>
    <xf numFmtId="0" fontId="15" fillId="0" borderId="33" xfId="0" applyFont="1" applyBorder="1" applyAlignment="1" applyProtection="1">
      <alignment/>
      <protection hidden="1"/>
    </xf>
    <xf numFmtId="0" fontId="15" fillId="0" borderId="34" xfId="0" applyFont="1" applyBorder="1" applyAlignment="1" applyProtection="1">
      <alignment/>
      <protection hidden="1"/>
    </xf>
    <xf numFmtId="0" fontId="15" fillId="0" borderId="32" xfId="0" applyFont="1" applyBorder="1" applyAlignment="1" applyProtection="1">
      <alignment/>
      <protection hidden="1"/>
    </xf>
    <xf numFmtId="0" fontId="15" fillId="0" borderId="35" xfId="0" applyFont="1" applyBorder="1" applyAlignment="1" applyProtection="1">
      <alignment/>
      <protection hidden="1"/>
    </xf>
    <xf numFmtId="0" fontId="15" fillId="0" borderId="36" xfId="0" applyFont="1" applyBorder="1" applyAlignment="1" applyProtection="1">
      <alignment/>
      <protection hidden="1"/>
    </xf>
    <xf numFmtId="0" fontId="15" fillId="0" borderId="23" xfId="0" applyFont="1" applyBorder="1" applyAlignment="1" applyProtection="1">
      <alignment horizontal="left"/>
      <protection hidden="1"/>
    </xf>
    <xf numFmtId="0" fontId="15" fillId="0" borderId="23" xfId="0" applyFont="1" applyBorder="1" applyAlignment="1" applyProtection="1">
      <alignment/>
      <protection hidden="1"/>
    </xf>
    <xf numFmtId="0" fontId="15" fillId="0" borderId="37" xfId="0" applyFont="1" applyBorder="1" applyAlignment="1" applyProtection="1">
      <alignment/>
      <protection hidden="1"/>
    </xf>
    <xf numFmtId="0" fontId="15" fillId="0" borderId="38" xfId="0" applyFont="1" applyBorder="1" applyAlignment="1" applyProtection="1">
      <alignment/>
      <protection hidden="1"/>
    </xf>
    <xf numFmtId="0" fontId="15" fillId="0" borderId="27" xfId="0" applyFont="1" applyBorder="1" applyAlignment="1" applyProtection="1">
      <alignment/>
      <protection hidden="1"/>
    </xf>
    <xf numFmtId="0" fontId="15" fillId="0" borderId="15" xfId="0" applyFont="1" applyBorder="1" applyAlignment="1" applyProtection="1">
      <alignment/>
      <protection hidden="1"/>
    </xf>
    <xf numFmtId="3" fontId="15" fillId="0" borderId="37" xfId="0" applyNumberFormat="1" applyFont="1" applyBorder="1" applyAlignment="1" applyProtection="1">
      <alignment/>
      <protection hidden="1"/>
    </xf>
    <xf numFmtId="0" fontId="15" fillId="0" borderId="39" xfId="0" applyFont="1" applyBorder="1" applyAlignment="1" applyProtection="1">
      <alignment/>
      <protection hidden="1"/>
    </xf>
    <xf numFmtId="1" fontId="15" fillId="0" borderId="37" xfId="0" applyNumberFormat="1" applyFont="1" applyBorder="1" applyAlignment="1" applyProtection="1">
      <alignment/>
      <protection hidden="1"/>
    </xf>
    <xf numFmtId="0" fontId="15" fillId="0" borderId="40" xfId="0" applyFont="1" applyBorder="1" applyAlignment="1" applyProtection="1">
      <alignment/>
      <protection hidden="1"/>
    </xf>
    <xf numFmtId="0" fontId="15" fillId="0" borderId="21" xfId="0" applyFont="1" applyBorder="1" applyAlignment="1" applyProtection="1">
      <alignment/>
      <protection hidden="1"/>
    </xf>
    <xf numFmtId="0" fontId="15" fillId="0" borderId="15" xfId="0" applyFont="1" applyBorder="1" applyAlignment="1" applyProtection="1">
      <alignment horizontal="left"/>
      <protection hidden="1"/>
    </xf>
    <xf numFmtId="0" fontId="15" fillId="0" borderId="16" xfId="0" applyFont="1" applyBorder="1" applyAlignment="1" applyProtection="1">
      <alignment horizontal="left"/>
      <protection hidden="1"/>
    </xf>
    <xf numFmtId="0" fontId="15" fillId="0" borderId="41" xfId="0" applyFont="1" applyBorder="1" applyAlignment="1" applyProtection="1">
      <alignment horizontal="left"/>
      <protection hidden="1"/>
    </xf>
    <xf numFmtId="3" fontId="15" fillId="0" borderId="23" xfId="0" applyNumberFormat="1" applyFont="1" applyBorder="1" applyAlignment="1" applyProtection="1">
      <alignment/>
      <protection hidden="1"/>
    </xf>
    <xf numFmtId="0" fontId="15" fillId="0" borderId="24" xfId="0" applyFont="1" applyBorder="1" applyAlignment="1" applyProtection="1">
      <alignment horizontal="left"/>
      <protection hidden="1"/>
    </xf>
    <xf numFmtId="0" fontId="15" fillId="0" borderId="42" xfId="0" applyFont="1" applyBorder="1" applyAlignment="1" applyProtection="1">
      <alignment horizontal="left"/>
      <protection hidden="1"/>
    </xf>
    <xf numFmtId="0" fontId="15" fillId="0" borderId="43" xfId="0" applyFont="1" applyBorder="1" applyAlignment="1" applyProtection="1">
      <alignment/>
      <protection hidden="1"/>
    </xf>
    <xf numFmtId="0" fontId="15" fillId="0" borderId="44" xfId="0" applyFont="1" applyBorder="1" applyAlignment="1" applyProtection="1">
      <alignment/>
      <protection hidden="1"/>
    </xf>
    <xf numFmtId="0" fontId="15" fillId="0" borderId="24" xfId="0" applyFont="1" applyBorder="1" applyAlignment="1" applyProtection="1">
      <alignment/>
      <protection hidden="1"/>
    </xf>
    <xf numFmtId="3" fontId="15" fillId="0" borderId="40" xfId="0" applyNumberFormat="1" applyFont="1" applyBorder="1" applyAlignment="1" applyProtection="1">
      <alignment/>
      <protection hidden="1"/>
    </xf>
    <xf numFmtId="2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2" fontId="2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2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5" fillId="0" borderId="45" xfId="0" applyNumberFormat="1" applyFont="1" applyBorder="1" applyAlignment="1">
      <alignment horizontal="center"/>
    </xf>
    <xf numFmtId="0" fontId="25" fillId="0" borderId="45" xfId="0" applyFont="1" applyBorder="1" applyAlignment="1">
      <alignment/>
    </xf>
    <xf numFmtId="0" fontId="26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26" fillId="0" borderId="13" xfId="0" applyFont="1" applyBorder="1" applyAlignment="1">
      <alignment/>
    </xf>
    <xf numFmtId="0" fontId="25" fillId="0" borderId="10" xfId="0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45" xfId="0" applyFont="1" applyFill="1" applyBorder="1" applyAlignment="1">
      <alignment/>
    </xf>
    <xf numFmtId="0" fontId="25" fillId="0" borderId="45" xfId="0" applyFont="1" applyBorder="1" applyAlignment="1">
      <alignment horizontal="right"/>
    </xf>
    <xf numFmtId="2" fontId="25" fillId="0" borderId="45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28" fillId="0" borderId="45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46" xfId="0" applyFont="1" applyBorder="1" applyAlignment="1">
      <alignment horizontal="center" vertical="center"/>
    </xf>
    <xf numFmtId="0" fontId="28" fillId="0" borderId="45" xfId="0" applyFont="1" applyBorder="1" applyAlignment="1">
      <alignment vertical="center"/>
    </xf>
    <xf numFmtId="0" fontId="28" fillId="0" borderId="45" xfId="0" applyFont="1" applyBorder="1" applyAlignment="1">
      <alignment horizontal="center" vertical="center"/>
    </xf>
    <xf numFmtId="0" fontId="27" fillId="0" borderId="45" xfId="0" applyFont="1" applyBorder="1" applyAlignment="1">
      <alignment horizontal="right"/>
    </xf>
    <xf numFmtId="2" fontId="28" fillId="0" borderId="45" xfId="0" applyNumberFormat="1" applyFont="1" applyBorder="1" applyAlignment="1">
      <alignment horizontal="right"/>
    </xf>
    <xf numFmtId="184" fontId="27" fillId="0" borderId="47" xfId="0" applyNumberFormat="1" applyFont="1" applyBorder="1" applyAlignment="1">
      <alignment horizontal="right" vertical="center"/>
    </xf>
    <xf numFmtId="184" fontId="28" fillId="0" borderId="45" xfId="0" applyNumberFormat="1" applyFont="1" applyBorder="1" applyAlignment="1">
      <alignment horizontal="right"/>
    </xf>
    <xf numFmtId="2" fontId="27" fillId="0" borderId="47" xfId="0" applyNumberFormat="1" applyFont="1" applyBorder="1" applyAlignment="1">
      <alignment horizontal="right"/>
    </xf>
    <xf numFmtId="0" fontId="27" fillId="0" borderId="47" xfId="0" applyFont="1" applyBorder="1" applyAlignment="1">
      <alignment horizontal="right" vertical="center"/>
    </xf>
    <xf numFmtId="0" fontId="28" fillId="0" borderId="46" xfId="0" applyFont="1" applyBorder="1" applyAlignment="1">
      <alignment/>
    </xf>
    <xf numFmtId="0" fontId="28" fillId="0" borderId="0" xfId="0" applyFont="1" applyBorder="1" applyAlignment="1">
      <alignment/>
    </xf>
    <xf numFmtId="3" fontId="28" fillId="0" borderId="48" xfId="0" applyNumberFormat="1" applyFont="1" applyBorder="1" applyAlignment="1">
      <alignment/>
    </xf>
    <xf numFmtId="0" fontId="27" fillId="0" borderId="49" xfId="0" applyFont="1" applyBorder="1" applyAlignment="1">
      <alignment horizontal="right" vertical="center"/>
    </xf>
    <xf numFmtId="0" fontId="27" fillId="0" borderId="50" xfId="0" applyFont="1" applyBorder="1" applyAlignment="1">
      <alignment horizontal="right" vertical="center"/>
    </xf>
    <xf numFmtId="183" fontId="28" fillId="0" borderId="10" xfId="0" applyNumberFormat="1" applyFont="1" applyBorder="1" applyAlignment="1">
      <alignment/>
    </xf>
    <xf numFmtId="183" fontId="28" fillId="0" borderId="0" xfId="0" applyNumberFormat="1" applyFont="1" applyBorder="1" applyAlignment="1">
      <alignment/>
    </xf>
    <xf numFmtId="183" fontId="28" fillId="0" borderId="13" xfId="0" applyNumberFormat="1" applyFont="1" applyBorder="1" applyAlignment="1">
      <alignment/>
    </xf>
    <xf numFmtId="0" fontId="28" fillId="0" borderId="51" xfId="0" applyFont="1" applyBorder="1" applyAlignment="1">
      <alignment/>
    </xf>
    <xf numFmtId="0" fontId="28" fillId="0" borderId="31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3" xfId="0" applyFont="1" applyBorder="1" applyAlignment="1">
      <alignment/>
    </xf>
    <xf numFmtId="0" fontId="27" fillId="0" borderId="52" xfId="0" applyFont="1" applyBorder="1" applyAlignment="1">
      <alignment vertical="center"/>
    </xf>
    <xf numFmtId="0" fontId="27" fillId="0" borderId="53" xfId="0" applyFont="1" applyBorder="1" applyAlignment="1">
      <alignment horizontal="left" vertical="center"/>
    </xf>
    <xf numFmtId="0" fontId="29" fillId="0" borderId="52" xfId="0" applyFont="1" applyBorder="1" applyAlignment="1">
      <alignment/>
    </xf>
    <xf numFmtId="0" fontId="29" fillId="0" borderId="54" xfId="0" applyFont="1" applyBorder="1" applyAlignment="1">
      <alignment/>
    </xf>
    <xf numFmtId="0" fontId="29" fillId="0" borderId="39" xfId="0" applyFont="1" applyBorder="1" applyAlignment="1">
      <alignment/>
    </xf>
    <xf numFmtId="0" fontId="29" fillId="0" borderId="37" xfId="0" applyFont="1" applyBorder="1" applyAlignment="1">
      <alignment/>
    </xf>
    <xf numFmtId="0" fontId="29" fillId="0" borderId="40" xfId="0" applyFont="1" applyBorder="1" applyAlignment="1">
      <alignment/>
    </xf>
    <xf numFmtId="0" fontId="28" fillId="0" borderId="51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7" fillId="0" borderId="55" xfId="0" applyFont="1" applyBorder="1" applyAlignment="1">
      <alignment vertical="center"/>
    </xf>
    <xf numFmtId="0" fontId="27" fillId="0" borderId="56" xfId="0" applyFont="1" applyBorder="1" applyAlignment="1">
      <alignment horizontal="right"/>
    </xf>
    <xf numFmtId="0" fontId="27" fillId="0" borderId="10" xfId="0" applyFont="1" applyBorder="1" applyAlignment="1">
      <alignment horizontal="left" vertical="center"/>
    </xf>
    <xf numFmtId="184" fontId="28" fillId="0" borderId="0" xfId="0" applyNumberFormat="1" applyFont="1" applyBorder="1" applyAlignment="1">
      <alignment horizontal="right"/>
    </xf>
    <xf numFmtId="2" fontId="28" fillId="0" borderId="0" xfId="0" applyNumberFormat="1" applyFont="1" applyBorder="1" applyAlignment="1">
      <alignment horizontal="right"/>
    </xf>
    <xf numFmtId="2" fontId="28" fillId="0" borderId="13" xfId="0" applyNumberFormat="1" applyFont="1" applyBorder="1" applyAlignment="1">
      <alignment horizontal="right"/>
    </xf>
    <xf numFmtId="0" fontId="27" fillId="0" borderId="55" xfId="0" applyFont="1" applyBorder="1" applyAlignment="1">
      <alignment horizontal="left" vertical="center"/>
    </xf>
    <xf numFmtId="2" fontId="28" fillId="0" borderId="56" xfId="0" applyNumberFormat="1" applyFont="1" applyBorder="1" applyAlignment="1">
      <alignment horizontal="right"/>
    </xf>
    <xf numFmtId="0" fontId="27" fillId="0" borderId="10" xfId="0" applyFont="1" applyBorder="1" applyAlignment="1">
      <alignment horizontal="left" vertical="center" wrapText="1"/>
    </xf>
    <xf numFmtId="184" fontId="27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>
      <alignment horizontal="right"/>
    </xf>
    <xf numFmtId="2" fontId="27" fillId="0" borderId="13" xfId="0" applyNumberFormat="1" applyFont="1" applyBorder="1" applyAlignment="1">
      <alignment horizontal="right"/>
    </xf>
    <xf numFmtId="0" fontId="27" fillId="0" borderId="49" xfId="0" applyFont="1" applyBorder="1" applyAlignment="1">
      <alignment horizontal="left" vertical="center"/>
    </xf>
    <xf numFmtId="2" fontId="27" fillId="0" borderId="50" xfId="0" applyNumberFormat="1" applyFont="1" applyBorder="1" applyAlignment="1">
      <alignment horizontal="right" vertical="center"/>
    </xf>
    <xf numFmtId="184" fontId="0" fillId="0" borderId="0" xfId="0" applyNumberFormat="1" applyAlignment="1">
      <alignment/>
    </xf>
    <xf numFmtId="0" fontId="25" fillId="0" borderId="45" xfId="0" applyNumberFormat="1" applyFont="1" applyBorder="1" applyAlignment="1">
      <alignment horizontal="right"/>
    </xf>
    <xf numFmtId="183" fontId="27" fillId="0" borderId="23" xfId="0" applyNumberFormat="1" applyFont="1" applyBorder="1" applyAlignment="1">
      <alignment/>
    </xf>
    <xf numFmtId="183" fontId="27" fillId="0" borderId="38" xfId="0" applyNumberFormat="1" applyFont="1" applyBorder="1" applyAlignment="1">
      <alignment/>
    </xf>
    <xf numFmtId="183" fontId="27" fillId="0" borderId="41" xfId="0" applyNumberFormat="1" applyFont="1" applyBorder="1" applyAlignment="1">
      <alignment/>
    </xf>
    <xf numFmtId="183" fontId="27" fillId="0" borderId="43" xfId="0" applyNumberFormat="1" applyFont="1" applyBorder="1" applyAlignment="1">
      <alignment/>
    </xf>
    <xf numFmtId="183" fontId="27" fillId="0" borderId="57" xfId="0" applyNumberFormat="1" applyFont="1" applyBorder="1" applyAlignment="1">
      <alignment/>
    </xf>
    <xf numFmtId="183" fontId="27" fillId="0" borderId="58" xfId="0" applyNumberFormat="1" applyFont="1" applyBorder="1" applyAlignment="1">
      <alignment/>
    </xf>
    <xf numFmtId="183" fontId="27" fillId="0" borderId="32" xfId="0" applyNumberFormat="1" applyFont="1" applyBorder="1" applyAlignment="1">
      <alignment/>
    </xf>
    <xf numFmtId="183" fontId="27" fillId="0" borderId="34" xfId="0" applyNumberFormat="1" applyFont="1" applyBorder="1" applyAlignment="1">
      <alignment/>
    </xf>
    <xf numFmtId="183" fontId="27" fillId="0" borderId="59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3" fontId="15" fillId="0" borderId="2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8" fillId="0" borderId="0" xfId="0" applyFont="1" applyAlignment="1">
      <alignment/>
    </xf>
    <xf numFmtId="0" fontId="27" fillId="0" borderId="32" xfId="0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59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38" xfId="0" applyFont="1" applyBorder="1" applyAlignment="1">
      <alignment/>
    </xf>
    <xf numFmtId="0" fontId="27" fillId="0" borderId="41" xfId="0" applyFont="1" applyBorder="1" applyAlignment="1">
      <alignment/>
    </xf>
    <xf numFmtId="0" fontId="27" fillId="0" borderId="43" xfId="0" applyFont="1" applyBorder="1" applyAlignment="1">
      <alignment/>
    </xf>
    <xf numFmtId="0" fontId="27" fillId="0" borderId="57" xfId="0" applyFont="1" applyBorder="1" applyAlignment="1">
      <alignment/>
    </xf>
    <xf numFmtId="0" fontId="27" fillId="0" borderId="58" xfId="0" applyFont="1" applyBorder="1" applyAlignment="1">
      <alignment/>
    </xf>
    <xf numFmtId="3" fontId="27" fillId="0" borderId="12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183" fontId="27" fillId="0" borderId="12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12" xfId="0" applyFont="1" applyBorder="1" applyAlignment="1">
      <alignment/>
    </xf>
    <xf numFmtId="0" fontId="27" fillId="0" borderId="16" xfId="0" applyFont="1" applyBorder="1" applyAlignment="1">
      <alignment/>
    </xf>
    <xf numFmtId="16" fontId="27" fillId="0" borderId="12" xfId="0" applyNumberFormat="1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48" fillId="0" borderId="12" xfId="0" applyFont="1" applyBorder="1" applyAlignment="1">
      <alignment/>
    </xf>
    <xf numFmtId="0" fontId="27" fillId="0" borderId="15" xfId="0" applyFont="1" applyFill="1" applyBorder="1" applyAlignment="1">
      <alignment/>
    </xf>
    <xf numFmtId="0" fontId="27" fillId="0" borderId="15" xfId="0" applyFont="1" applyFill="1" applyBorder="1" applyAlignment="1">
      <alignment wrapText="1"/>
    </xf>
    <xf numFmtId="3" fontId="27" fillId="0" borderId="32" xfId="0" applyNumberFormat="1" applyFont="1" applyBorder="1" applyAlignment="1">
      <alignment/>
    </xf>
    <xf numFmtId="3" fontId="27" fillId="0" borderId="34" xfId="0" applyNumberFormat="1" applyFont="1" applyBorder="1" applyAlignment="1">
      <alignment/>
    </xf>
    <xf numFmtId="3" fontId="27" fillId="0" borderId="59" xfId="0" applyNumberFormat="1" applyFont="1" applyBorder="1" applyAlignment="1">
      <alignment/>
    </xf>
    <xf numFmtId="3" fontId="27" fillId="0" borderId="23" xfId="0" applyNumberFormat="1" applyFont="1" applyBorder="1" applyAlignment="1">
      <alignment/>
    </xf>
    <xf numFmtId="3" fontId="27" fillId="0" borderId="38" xfId="0" applyNumberFormat="1" applyFont="1" applyBorder="1" applyAlignment="1">
      <alignment/>
    </xf>
    <xf numFmtId="3" fontId="27" fillId="0" borderId="41" xfId="0" applyNumberFormat="1" applyFont="1" applyBorder="1" applyAlignment="1">
      <alignment/>
    </xf>
    <xf numFmtId="3" fontId="27" fillId="0" borderId="43" xfId="0" applyNumberFormat="1" applyFont="1" applyBorder="1" applyAlignment="1">
      <alignment/>
    </xf>
    <xf numFmtId="3" fontId="27" fillId="0" borderId="57" xfId="0" applyNumberFormat="1" applyFont="1" applyBorder="1" applyAlignment="1">
      <alignment/>
    </xf>
    <xf numFmtId="3" fontId="27" fillId="0" borderId="58" xfId="0" applyNumberFormat="1" applyFont="1" applyBorder="1" applyAlignment="1">
      <alignment/>
    </xf>
    <xf numFmtId="3" fontId="28" fillId="0" borderId="12" xfId="0" applyNumberFormat="1" applyFont="1" applyBorder="1" applyAlignment="1">
      <alignment/>
    </xf>
    <xf numFmtId="3" fontId="28" fillId="0" borderId="16" xfId="0" applyNumberFormat="1" applyFont="1" applyBorder="1" applyAlignment="1">
      <alignment/>
    </xf>
    <xf numFmtId="183" fontId="28" fillId="0" borderId="12" xfId="0" applyNumberFormat="1" applyFont="1" applyBorder="1" applyAlignment="1">
      <alignment/>
    </xf>
    <xf numFmtId="3" fontId="28" fillId="0" borderId="0" xfId="0" applyNumberFormat="1" applyFont="1" applyAlignment="1">
      <alignment/>
    </xf>
    <xf numFmtId="0" fontId="27" fillId="0" borderId="60" xfId="0" applyFont="1" applyBorder="1" applyAlignment="1">
      <alignment/>
    </xf>
    <xf numFmtId="3" fontId="28" fillId="0" borderId="60" xfId="0" applyNumberFormat="1" applyFont="1" applyBorder="1" applyAlignment="1">
      <alignment/>
    </xf>
    <xf numFmtId="183" fontId="28" fillId="0" borderId="60" xfId="0" applyNumberFormat="1" applyFont="1" applyBorder="1" applyAlignment="1">
      <alignment/>
    </xf>
    <xf numFmtId="0" fontId="27" fillId="0" borderId="20" xfId="0" applyFont="1" applyBorder="1" applyAlignment="1">
      <alignment/>
    </xf>
    <xf numFmtId="3" fontId="28" fillId="0" borderId="20" xfId="0" applyNumberFormat="1" applyFont="1" applyBorder="1" applyAlignment="1">
      <alignment/>
    </xf>
    <xf numFmtId="183" fontId="28" fillId="0" borderId="20" xfId="0" applyNumberFormat="1" applyFont="1" applyBorder="1" applyAlignment="1">
      <alignment/>
    </xf>
    <xf numFmtId="0" fontId="27" fillId="0" borderId="22" xfId="0" applyFont="1" applyBorder="1" applyAlignment="1">
      <alignment/>
    </xf>
    <xf numFmtId="3" fontId="28" fillId="0" borderId="22" xfId="0" applyNumberFormat="1" applyFont="1" applyBorder="1" applyAlignment="1">
      <alignment/>
    </xf>
    <xf numFmtId="183" fontId="28" fillId="0" borderId="22" xfId="0" applyNumberFormat="1" applyFont="1" applyBorder="1" applyAlignment="1">
      <alignment/>
    </xf>
    <xf numFmtId="0" fontId="27" fillId="0" borderId="12" xfId="0" applyFont="1" applyBorder="1" applyAlignment="1">
      <alignment/>
    </xf>
    <xf numFmtId="3" fontId="27" fillId="0" borderId="12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183" fontId="27" fillId="0" borderId="27" xfId="0" applyNumberFormat="1" applyFont="1" applyBorder="1" applyAlignment="1">
      <alignment/>
    </xf>
    <xf numFmtId="183" fontId="27" fillId="0" borderId="12" xfId="0" applyNumberFormat="1" applyFont="1" applyBorder="1" applyAlignment="1">
      <alignment/>
    </xf>
    <xf numFmtId="0" fontId="49" fillId="0" borderId="0" xfId="0" applyFont="1" applyAlignment="1">
      <alignment horizontal="center"/>
    </xf>
    <xf numFmtId="0" fontId="27" fillId="0" borderId="27" xfId="0" applyFont="1" applyBorder="1" applyAlignment="1">
      <alignment/>
    </xf>
    <xf numFmtId="3" fontId="27" fillId="0" borderId="27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0" fontId="27" fillId="0" borderId="61" xfId="0" applyFont="1" applyBorder="1" applyAlignment="1">
      <alignment/>
    </xf>
    <xf numFmtId="0" fontId="27" fillId="0" borderId="17" xfId="0" applyFont="1" applyBorder="1" applyAlignment="1">
      <alignment/>
    </xf>
    <xf numFmtId="3" fontId="27" fillId="0" borderId="62" xfId="0" applyNumberFormat="1" applyFont="1" applyBorder="1" applyAlignment="1">
      <alignment/>
    </xf>
    <xf numFmtId="0" fontId="27" fillId="0" borderId="63" xfId="0" applyFont="1" applyBorder="1" applyAlignment="1">
      <alignment/>
    </xf>
    <xf numFmtId="0" fontId="27" fillId="0" borderId="48" xfId="0" applyFont="1" applyBorder="1" applyAlignment="1">
      <alignment/>
    </xf>
    <xf numFmtId="3" fontId="27" fillId="0" borderId="27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0" fontId="27" fillId="0" borderId="64" xfId="0" applyFont="1" applyBorder="1" applyAlignment="1">
      <alignment/>
    </xf>
    <xf numFmtId="3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48" xfId="0" applyFont="1" applyBorder="1" applyAlignment="1">
      <alignment horizontal="right"/>
    </xf>
    <xf numFmtId="3" fontId="27" fillId="0" borderId="17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3" fontId="27" fillId="0" borderId="48" xfId="0" applyNumberFormat="1" applyFont="1" applyBorder="1" applyAlignment="1">
      <alignment horizontal="right"/>
    </xf>
    <xf numFmtId="0" fontId="27" fillId="0" borderId="62" xfId="0" applyFont="1" applyBorder="1" applyAlignment="1">
      <alignment/>
    </xf>
    <xf numFmtId="0" fontId="27" fillId="0" borderId="65" xfId="0" applyFont="1" applyBorder="1" applyAlignment="1">
      <alignment/>
    </xf>
    <xf numFmtId="0" fontId="27" fillId="0" borderId="66" xfId="0" applyFont="1" applyBorder="1" applyAlignment="1">
      <alignment/>
    </xf>
    <xf numFmtId="0" fontId="49" fillId="0" borderId="0" xfId="0" applyFont="1" applyAlignment="1">
      <alignment horizontal="center" wrapText="1"/>
    </xf>
    <xf numFmtId="2" fontId="27" fillId="0" borderId="66" xfId="0" applyNumberFormat="1" applyFont="1" applyBorder="1" applyAlignment="1">
      <alignment/>
    </xf>
    <xf numFmtId="2" fontId="27" fillId="0" borderId="62" xfId="0" applyNumberFormat="1" applyFont="1" applyBorder="1" applyAlignment="1">
      <alignment/>
    </xf>
    <xf numFmtId="2" fontId="27" fillId="0" borderId="65" xfId="0" applyNumberFormat="1" applyFont="1" applyBorder="1" applyAlignment="1">
      <alignment/>
    </xf>
    <xf numFmtId="2" fontId="27" fillId="0" borderId="62" xfId="0" applyNumberFormat="1" applyFont="1" applyBorder="1" applyAlignment="1">
      <alignment horizontal="right"/>
    </xf>
    <xf numFmtId="2" fontId="27" fillId="0" borderId="65" xfId="0" applyNumberFormat="1" applyFont="1" applyBorder="1" applyAlignment="1">
      <alignment horizontal="right"/>
    </xf>
    <xf numFmtId="2" fontId="27" fillId="0" borderId="66" xfId="0" applyNumberFormat="1" applyFont="1" applyBorder="1" applyAlignment="1">
      <alignment horizontal="right"/>
    </xf>
    <xf numFmtId="183" fontId="28" fillId="0" borderId="60" xfId="0" applyNumberFormat="1" applyFont="1" applyBorder="1" applyAlignment="1">
      <alignment horizontal="right"/>
    </xf>
    <xf numFmtId="183" fontId="28" fillId="0" borderId="20" xfId="0" applyNumberFormat="1" applyFont="1" applyBorder="1" applyAlignment="1">
      <alignment horizontal="right"/>
    </xf>
    <xf numFmtId="183" fontId="28" fillId="0" borderId="12" xfId="0" applyNumberFormat="1" applyFont="1" applyBorder="1" applyAlignment="1">
      <alignment horizontal="right"/>
    </xf>
    <xf numFmtId="0" fontId="49" fillId="0" borderId="0" xfId="0" applyFont="1" applyAlignment="1">
      <alignment horizontal="left"/>
    </xf>
    <xf numFmtId="0" fontId="15" fillId="0" borderId="45" xfId="0" applyFont="1" applyBorder="1" applyAlignment="1" applyProtection="1">
      <alignment horizontal="center" vertical="center"/>
      <protection locked="0"/>
    </xf>
    <xf numFmtId="0" fontId="15" fillId="0" borderId="56" xfId="0" applyFont="1" applyBorder="1" applyAlignment="1" applyProtection="1">
      <alignment horizontal="center" vertical="center"/>
      <protection locked="0"/>
    </xf>
    <xf numFmtId="0" fontId="15" fillId="0" borderId="52" xfId="0" applyFont="1" applyBorder="1" applyAlignment="1" applyProtection="1">
      <alignment horizontal="center" vertical="center"/>
      <protection hidden="1"/>
    </xf>
    <xf numFmtId="0" fontId="15" fillId="0" borderId="53" xfId="0" applyFont="1" applyBorder="1" applyAlignment="1" applyProtection="1">
      <alignment horizontal="center" vertical="center"/>
      <protection hidden="1"/>
    </xf>
    <xf numFmtId="0" fontId="15" fillId="0" borderId="51" xfId="0" applyFont="1" applyBorder="1" applyAlignment="1" applyProtection="1">
      <alignment horizontal="center"/>
      <protection hidden="1"/>
    </xf>
    <xf numFmtId="0" fontId="15" fillId="0" borderId="45" xfId="0" applyFont="1" applyFill="1" applyBorder="1" applyAlignment="1">
      <alignment/>
    </xf>
    <xf numFmtId="0" fontId="15" fillId="0" borderId="46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15" fillId="0" borderId="55" xfId="0" applyFont="1" applyBorder="1" applyAlignment="1" applyProtection="1">
      <alignment horizontal="center" vertical="center"/>
      <protection locked="0"/>
    </xf>
    <xf numFmtId="3" fontId="49" fillId="0" borderId="0" xfId="0" applyNumberFormat="1" applyFont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8" fillId="0" borderId="57" xfId="0" applyFont="1" applyFill="1" applyBorder="1" applyAlignment="1">
      <alignment horizontal="center"/>
    </xf>
    <xf numFmtId="0" fontId="18" fillId="0" borderId="58" xfId="0" applyFont="1" applyFill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5" fillId="0" borderId="23" xfId="0" applyFont="1" applyBorder="1" applyAlignment="1" applyProtection="1">
      <alignment horizontal="left"/>
      <protection hidden="1"/>
    </xf>
    <xf numFmtId="0" fontId="22" fillId="0" borderId="41" xfId="0" applyFont="1" applyBorder="1" applyAlignment="1">
      <alignment horizontal="left"/>
    </xf>
    <xf numFmtId="0" fontId="15" fillId="0" borderId="49" xfId="0" applyFont="1" applyBorder="1" applyAlignment="1" applyProtection="1">
      <alignment horizontal="center"/>
      <protection hidden="1"/>
    </xf>
    <xf numFmtId="0" fontId="15" fillId="0" borderId="47" xfId="0" applyFont="1" applyBorder="1" applyAlignment="1" applyProtection="1">
      <alignment horizontal="center"/>
      <protection hidden="1"/>
    </xf>
    <xf numFmtId="0" fontId="15" fillId="0" borderId="50" xfId="0" applyFont="1" applyBorder="1" applyAlignment="1" applyProtection="1">
      <alignment horizontal="center"/>
      <protection hidden="1"/>
    </xf>
    <xf numFmtId="0" fontId="15" fillId="0" borderId="51" xfId="0" applyFont="1" applyBorder="1" applyAlignment="1" applyProtection="1">
      <alignment horizontal="center" vertical="center"/>
      <protection locked="0"/>
    </xf>
    <xf numFmtId="0" fontId="15" fillId="0" borderId="46" xfId="0" applyFont="1" applyBorder="1" applyAlignment="1" applyProtection="1">
      <alignment horizontal="center"/>
      <protection hidden="1"/>
    </xf>
    <xf numFmtId="0" fontId="15" fillId="0" borderId="31" xfId="0" applyFont="1" applyBorder="1" applyAlignment="1" applyProtection="1">
      <alignment horizontal="center"/>
      <protection hidden="1"/>
    </xf>
    <xf numFmtId="0" fontId="15" fillId="0" borderId="28" xfId="0" applyFont="1" applyBorder="1" applyAlignment="1" applyProtection="1">
      <alignment horizontal="center"/>
      <protection hidden="1"/>
    </xf>
    <xf numFmtId="0" fontId="15" fillId="0" borderId="29" xfId="0" applyFont="1" applyBorder="1" applyAlignment="1" applyProtection="1">
      <alignment horizontal="center"/>
      <protection hidden="1"/>
    </xf>
    <xf numFmtId="0" fontId="15" fillId="0" borderId="30" xfId="0" applyFont="1" applyBorder="1" applyAlignment="1" applyProtection="1">
      <alignment horizontal="center"/>
      <protection hidden="1"/>
    </xf>
    <xf numFmtId="0" fontId="15" fillId="0" borderId="67" xfId="0" applyFont="1" applyBorder="1" applyAlignment="1" applyProtection="1">
      <alignment horizontal="center"/>
      <protection hidden="1"/>
    </xf>
    <xf numFmtId="0" fontId="15" fillId="0" borderId="32" xfId="0" applyFont="1" applyBorder="1" applyAlignment="1" applyProtection="1">
      <alignment horizontal="left"/>
      <protection hidden="1"/>
    </xf>
    <xf numFmtId="0" fontId="22" fillId="0" borderId="59" xfId="0" applyFont="1" applyBorder="1" applyAlignment="1">
      <alignment horizontal="left"/>
    </xf>
    <xf numFmtId="0" fontId="15" fillId="0" borderId="51" xfId="0" applyFont="1" applyBorder="1" applyAlignment="1" applyProtection="1">
      <alignment horizontal="center" vertical="center"/>
      <protection hidden="1"/>
    </xf>
    <xf numFmtId="0" fontId="15" fillId="0" borderId="31" xfId="0" applyFont="1" applyBorder="1" applyAlignment="1" applyProtection="1">
      <alignment horizontal="center" vertical="center"/>
      <protection hidden="1"/>
    </xf>
    <xf numFmtId="0" fontId="15" fillId="0" borderId="55" xfId="0" applyFont="1" applyBorder="1" applyAlignment="1" applyProtection="1">
      <alignment horizontal="center" vertical="center"/>
      <protection hidden="1"/>
    </xf>
    <xf numFmtId="0" fontId="15" fillId="0" borderId="56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9" fillId="0" borderId="0" xfId="0" applyFont="1" applyAlignment="1">
      <alignment horizontal="center" wrapText="1"/>
    </xf>
    <xf numFmtId="0" fontId="15" fillId="0" borderId="32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27" fillId="0" borderId="46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0" borderId="51" xfId="0" applyFont="1" applyBorder="1" applyAlignment="1">
      <alignment horizontal="center" vertical="center"/>
    </xf>
    <xf numFmtId="0" fontId="27" fillId="0" borderId="51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7" fillId="0" borderId="1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3" fontId="25" fillId="0" borderId="46" xfId="0" applyNumberFormat="1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37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421875" style="0" customWidth="1"/>
    <col min="3" max="3" width="17.57421875" style="0" customWidth="1"/>
    <col min="4" max="4" width="6.140625" style="0" customWidth="1"/>
    <col min="5" max="5" width="6.421875" style="0" customWidth="1"/>
    <col min="6" max="6" width="6.57421875" style="0" customWidth="1"/>
    <col min="7" max="7" width="6.00390625" style="0" customWidth="1"/>
    <col min="8" max="8" width="17.57421875" style="0" customWidth="1"/>
    <col min="9" max="9" width="6.140625" style="0" hidden="1" customWidth="1"/>
    <col min="10" max="10" width="9.00390625" style="0" customWidth="1"/>
    <col min="11" max="11" width="7.421875" style="0" customWidth="1"/>
    <col min="12" max="12" width="7.00390625" style="0" customWidth="1"/>
    <col min="13" max="13" width="4.421875" style="0" customWidth="1"/>
    <col min="14" max="14" width="6.7109375" style="0" customWidth="1"/>
    <col min="15" max="15" width="22.8515625" style="0" customWidth="1"/>
    <col min="16" max="16" width="5.7109375" style="0" customWidth="1"/>
    <col min="17" max="17" width="6.00390625" style="0" customWidth="1"/>
    <col min="18" max="18" width="5.28125" style="0" customWidth="1"/>
    <col min="19" max="19" width="4.8515625" style="0" customWidth="1"/>
    <col min="20" max="20" width="20.7109375" style="0" customWidth="1"/>
    <col min="21" max="21" width="5.421875" style="0" customWidth="1"/>
    <col min="22" max="23" width="5.57421875" style="0" customWidth="1"/>
    <col min="25" max="25" width="20.421875" style="0" bestFit="1" customWidth="1"/>
  </cols>
  <sheetData>
    <row r="3" ht="13.5" thickBot="1"/>
    <row r="4" spans="2:25" ht="12.75">
      <c r="B4" s="318" t="s">
        <v>279</v>
      </c>
      <c r="C4" s="319"/>
      <c r="D4" s="319"/>
      <c r="E4" s="319"/>
      <c r="F4" s="319"/>
      <c r="G4" s="319"/>
      <c r="H4" s="319"/>
      <c r="I4" s="319"/>
      <c r="J4" s="319"/>
      <c r="K4" s="319"/>
      <c r="L4" s="320"/>
      <c r="M4" s="33"/>
      <c r="N4" s="321" t="s">
        <v>280</v>
      </c>
      <c r="O4" s="322"/>
      <c r="P4" s="322"/>
      <c r="Q4" s="322"/>
      <c r="R4" s="322"/>
      <c r="S4" s="322"/>
      <c r="T4" s="322"/>
      <c r="U4" s="322"/>
      <c r="V4" s="322"/>
      <c r="W4" s="327"/>
      <c r="X4" s="5"/>
      <c r="Y4" s="5"/>
    </row>
    <row r="5" spans="2:24" ht="12.75">
      <c r="B5" s="53" t="s">
        <v>58</v>
      </c>
      <c r="C5" s="54" t="s">
        <v>9</v>
      </c>
      <c r="D5" s="54" t="s">
        <v>10</v>
      </c>
      <c r="E5" s="54" t="s">
        <v>11</v>
      </c>
      <c r="F5" s="54" t="s">
        <v>59</v>
      </c>
      <c r="G5" s="53" t="s">
        <v>58</v>
      </c>
      <c r="H5" s="54" t="s">
        <v>9</v>
      </c>
      <c r="I5" s="54" t="s">
        <v>10</v>
      </c>
      <c r="J5" s="54" t="s">
        <v>10</v>
      </c>
      <c r="K5" s="54" t="s">
        <v>11</v>
      </c>
      <c r="L5" s="55" t="s">
        <v>129</v>
      </c>
      <c r="M5" s="21"/>
      <c r="N5" s="56" t="s">
        <v>60</v>
      </c>
      <c r="O5" s="57" t="s">
        <v>9</v>
      </c>
      <c r="P5" s="57" t="s">
        <v>10</v>
      </c>
      <c r="Q5" s="57" t="s">
        <v>11</v>
      </c>
      <c r="R5" s="55" t="s">
        <v>129</v>
      </c>
      <c r="S5" s="57" t="s">
        <v>62</v>
      </c>
      <c r="T5" s="57" t="s">
        <v>9</v>
      </c>
      <c r="U5" s="57" t="s">
        <v>10</v>
      </c>
      <c r="V5" s="57" t="s">
        <v>11</v>
      </c>
      <c r="W5" s="55" t="s">
        <v>129</v>
      </c>
      <c r="X5" s="1"/>
    </row>
    <row r="6" spans="2:24" ht="12.75">
      <c r="B6" s="53">
        <v>1</v>
      </c>
      <c r="C6" s="54" t="s">
        <v>14</v>
      </c>
      <c r="D6" s="34">
        <v>11195</v>
      </c>
      <c r="E6" s="29">
        <v>14088</v>
      </c>
      <c r="F6" s="54"/>
      <c r="G6" s="54">
        <v>42</v>
      </c>
      <c r="H6" s="54" t="s">
        <v>63</v>
      </c>
      <c r="I6" s="54"/>
      <c r="J6" s="54"/>
      <c r="K6" s="54"/>
      <c r="L6" s="55"/>
      <c r="M6" s="22"/>
      <c r="N6" s="56">
        <v>1</v>
      </c>
      <c r="O6" s="57" t="s">
        <v>153</v>
      </c>
      <c r="P6" s="58">
        <v>1</v>
      </c>
      <c r="Q6" s="57">
        <v>5</v>
      </c>
      <c r="R6" s="57"/>
      <c r="S6" s="57">
        <v>42</v>
      </c>
      <c r="T6" s="57" t="s">
        <v>254</v>
      </c>
      <c r="U6" s="34"/>
      <c r="V6" s="54"/>
      <c r="W6" s="23"/>
      <c r="X6" s="6"/>
    </row>
    <row r="7" spans="2:24" ht="12.75">
      <c r="B7" s="53">
        <v>2</v>
      </c>
      <c r="C7" s="54" t="s">
        <v>15</v>
      </c>
      <c r="D7" s="34">
        <v>521</v>
      </c>
      <c r="E7" s="54">
        <v>498</v>
      </c>
      <c r="F7" s="54"/>
      <c r="G7" s="54">
        <v>43</v>
      </c>
      <c r="H7" s="54" t="s">
        <v>64</v>
      </c>
      <c r="I7" s="54"/>
      <c r="J7" s="54">
        <v>3</v>
      </c>
      <c r="K7" s="54"/>
      <c r="L7" s="55"/>
      <c r="M7" s="22"/>
      <c r="N7" s="56">
        <v>2</v>
      </c>
      <c r="O7" s="57" t="s">
        <v>154</v>
      </c>
      <c r="P7" s="58">
        <v>8</v>
      </c>
      <c r="Q7" s="57">
        <v>7</v>
      </c>
      <c r="R7" s="57"/>
      <c r="S7" s="57">
        <v>43</v>
      </c>
      <c r="T7" s="57" t="s">
        <v>206</v>
      </c>
      <c r="U7" s="34">
        <v>1</v>
      </c>
      <c r="V7" s="54"/>
      <c r="W7" s="60"/>
      <c r="X7" s="6"/>
    </row>
    <row r="8" spans="2:24" ht="12.75">
      <c r="B8" s="53">
        <v>3</v>
      </c>
      <c r="C8" s="54" t="s">
        <v>16</v>
      </c>
      <c r="D8" s="34">
        <v>386</v>
      </c>
      <c r="E8" s="54">
        <v>604</v>
      </c>
      <c r="F8" s="54"/>
      <c r="G8" s="54">
        <v>44</v>
      </c>
      <c r="H8" s="54" t="s">
        <v>65</v>
      </c>
      <c r="I8" s="54"/>
      <c r="J8" s="54">
        <v>2</v>
      </c>
      <c r="K8" s="54"/>
      <c r="L8" s="55"/>
      <c r="M8" s="22"/>
      <c r="N8" s="56">
        <v>3</v>
      </c>
      <c r="O8" s="57" t="s">
        <v>293</v>
      </c>
      <c r="P8" s="58">
        <v>3</v>
      </c>
      <c r="Q8" s="57">
        <v>1</v>
      </c>
      <c r="R8" s="57"/>
      <c r="S8" s="57">
        <v>44</v>
      </c>
      <c r="T8" s="57" t="s">
        <v>148</v>
      </c>
      <c r="U8" s="34"/>
      <c r="V8" s="54"/>
      <c r="W8" s="60"/>
      <c r="X8" s="6"/>
    </row>
    <row r="9" spans="2:24" ht="12.75">
      <c r="B9" s="53">
        <v>4</v>
      </c>
      <c r="C9" s="54" t="s">
        <v>17</v>
      </c>
      <c r="D9" s="34">
        <v>88</v>
      </c>
      <c r="E9" s="54">
        <v>59</v>
      </c>
      <c r="F9" s="54"/>
      <c r="G9" s="54">
        <v>45</v>
      </c>
      <c r="H9" s="54" t="s">
        <v>66</v>
      </c>
      <c r="I9" s="54">
        <v>6</v>
      </c>
      <c r="J9" s="34">
        <v>29</v>
      </c>
      <c r="K9" s="54">
        <v>8</v>
      </c>
      <c r="L9" s="55"/>
      <c r="M9" s="22"/>
      <c r="N9" s="56">
        <v>4</v>
      </c>
      <c r="O9" s="57" t="s">
        <v>194</v>
      </c>
      <c r="P9" s="57">
        <v>1</v>
      </c>
      <c r="Q9" s="58">
        <v>1</v>
      </c>
      <c r="R9" s="57"/>
      <c r="S9" s="57">
        <v>45</v>
      </c>
      <c r="T9" s="57" t="s">
        <v>245</v>
      </c>
      <c r="U9" s="34">
        <v>2</v>
      </c>
      <c r="V9" s="54"/>
      <c r="W9" s="60"/>
      <c r="X9" s="6"/>
    </row>
    <row r="10" spans="2:24" ht="12.75">
      <c r="B10" s="53">
        <v>5</v>
      </c>
      <c r="C10" s="54" t="s">
        <v>18</v>
      </c>
      <c r="D10" s="34">
        <v>45</v>
      </c>
      <c r="E10" s="34">
        <v>36</v>
      </c>
      <c r="F10" s="54"/>
      <c r="G10" s="54">
        <v>46</v>
      </c>
      <c r="H10" s="54" t="s">
        <v>67</v>
      </c>
      <c r="I10" s="54">
        <v>5</v>
      </c>
      <c r="J10" s="34">
        <v>17</v>
      </c>
      <c r="K10" s="54">
        <v>14</v>
      </c>
      <c r="L10" s="55"/>
      <c r="M10" s="22"/>
      <c r="N10" s="56">
        <v>5</v>
      </c>
      <c r="O10" s="57" t="s">
        <v>295</v>
      </c>
      <c r="P10" s="58">
        <v>1</v>
      </c>
      <c r="Q10" s="57"/>
      <c r="R10" s="57"/>
      <c r="S10" s="57">
        <v>46</v>
      </c>
      <c r="T10" s="57" t="s">
        <v>207</v>
      </c>
      <c r="U10" s="34"/>
      <c r="V10" s="54"/>
      <c r="W10" s="60"/>
      <c r="X10" s="6"/>
    </row>
    <row r="11" spans="2:24" ht="12.75">
      <c r="B11" s="53">
        <v>6</v>
      </c>
      <c r="C11" s="54" t="s">
        <v>19</v>
      </c>
      <c r="D11" s="62">
        <v>856</v>
      </c>
      <c r="E11" s="54">
        <v>1547</v>
      </c>
      <c r="F11" s="54"/>
      <c r="G11" s="54">
        <v>47</v>
      </c>
      <c r="H11" s="54" t="s">
        <v>68</v>
      </c>
      <c r="I11" s="54">
        <v>7</v>
      </c>
      <c r="J11" s="34">
        <v>6</v>
      </c>
      <c r="K11" s="54"/>
      <c r="L11" s="55"/>
      <c r="M11" s="22"/>
      <c r="N11" s="56">
        <v>6</v>
      </c>
      <c r="O11" s="57" t="s">
        <v>155</v>
      </c>
      <c r="P11" s="58">
        <v>2</v>
      </c>
      <c r="Q11" s="57">
        <v>2</v>
      </c>
      <c r="R11" s="57"/>
      <c r="S11" s="57">
        <v>47</v>
      </c>
      <c r="T11" s="57" t="s">
        <v>199</v>
      </c>
      <c r="U11" s="34">
        <v>2</v>
      </c>
      <c r="V11" s="54">
        <v>3</v>
      </c>
      <c r="W11" s="60"/>
      <c r="X11" s="6"/>
    </row>
    <row r="12" spans="2:24" ht="12.75">
      <c r="B12" s="53">
        <v>7</v>
      </c>
      <c r="C12" s="54" t="s">
        <v>20</v>
      </c>
      <c r="D12" s="34">
        <v>1509</v>
      </c>
      <c r="E12" s="54">
        <v>1816</v>
      </c>
      <c r="F12" s="54"/>
      <c r="G12" s="54">
        <v>48</v>
      </c>
      <c r="H12" s="54" t="s">
        <v>69</v>
      </c>
      <c r="I12" s="54">
        <v>2</v>
      </c>
      <c r="J12" s="34">
        <v>7</v>
      </c>
      <c r="K12" s="54"/>
      <c r="L12" s="55"/>
      <c r="M12" s="22"/>
      <c r="N12" s="56">
        <v>7</v>
      </c>
      <c r="O12" s="57" t="s">
        <v>139</v>
      </c>
      <c r="P12" s="58">
        <v>23</v>
      </c>
      <c r="Q12" s="57">
        <v>8</v>
      </c>
      <c r="R12" s="57"/>
      <c r="S12" s="57">
        <v>48</v>
      </c>
      <c r="T12" s="57" t="s">
        <v>208</v>
      </c>
      <c r="U12" s="34"/>
      <c r="V12" s="54">
        <v>11</v>
      </c>
      <c r="W12" s="60"/>
      <c r="X12" s="6"/>
    </row>
    <row r="13" spans="2:24" ht="12.75">
      <c r="B13" s="53">
        <v>8</v>
      </c>
      <c r="C13" s="54" t="s">
        <v>21</v>
      </c>
      <c r="D13" s="34">
        <v>1153</v>
      </c>
      <c r="E13" s="54">
        <v>1840</v>
      </c>
      <c r="F13" s="54"/>
      <c r="G13" s="54">
        <v>49</v>
      </c>
      <c r="H13" s="54" t="s">
        <v>47</v>
      </c>
      <c r="I13" s="54">
        <v>1</v>
      </c>
      <c r="J13" s="54">
        <v>24</v>
      </c>
      <c r="K13" s="54">
        <v>7</v>
      </c>
      <c r="L13" s="55"/>
      <c r="M13" s="22"/>
      <c r="N13" s="56">
        <v>8</v>
      </c>
      <c r="O13" s="57" t="s">
        <v>156</v>
      </c>
      <c r="P13" s="58">
        <v>16</v>
      </c>
      <c r="Q13" s="57">
        <v>11</v>
      </c>
      <c r="R13" s="57"/>
      <c r="S13" s="57">
        <v>49</v>
      </c>
      <c r="T13" s="57" t="s">
        <v>182</v>
      </c>
      <c r="U13" s="34"/>
      <c r="V13" s="54"/>
      <c r="W13" s="60"/>
      <c r="X13" s="6"/>
    </row>
    <row r="14" spans="2:24" ht="12.75">
      <c r="B14" s="53">
        <v>9</v>
      </c>
      <c r="C14" s="54" t="s">
        <v>22</v>
      </c>
      <c r="D14" s="34">
        <v>23</v>
      </c>
      <c r="E14" s="54">
        <v>258</v>
      </c>
      <c r="F14" s="54"/>
      <c r="G14" s="54">
        <v>50</v>
      </c>
      <c r="H14" s="54" t="s">
        <v>48</v>
      </c>
      <c r="I14" s="54">
        <v>1634</v>
      </c>
      <c r="J14" s="34">
        <v>812</v>
      </c>
      <c r="K14" s="54">
        <v>802</v>
      </c>
      <c r="L14" s="55"/>
      <c r="M14" s="22"/>
      <c r="N14" s="56">
        <v>9</v>
      </c>
      <c r="O14" s="57" t="s">
        <v>140</v>
      </c>
      <c r="P14" s="58">
        <v>32</v>
      </c>
      <c r="Q14" s="57">
        <v>25</v>
      </c>
      <c r="R14" s="57"/>
      <c r="S14" s="57">
        <v>50</v>
      </c>
      <c r="T14" s="54" t="s">
        <v>184</v>
      </c>
      <c r="U14" s="34"/>
      <c r="V14" s="54"/>
      <c r="W14" s="100"/>
      <c r="X14" s="6"/>
    </row>
    <row r="15" spans="2:24" ht="12.75">
      <c r="B15" s="53">
        <v>10</v>
      </c>
      <c r="C15" s="54" t="s">
        <v>23</v>
      </c>
      <c r="D15" s="34">
        <v>723</v>
      </c>
      <c r="E15" s="54">
        <v>789</v>
      </c>
      <c r="F15" s="54"/>
      <c r="G15" s="54">
        <v>51</v>
      </c>
      <c r="H15" s="54" t="s">
        <v>49</v>
      </c>
      <c r="I15" s="54">
        <v>5</v>
      </c>
      <c r="J15" s="34">
        <v>13</v>
      </c>
      <c r="K15" s="54">
        <v>5</v>
      </c>
      <c r="L15" s="55"/>
      <c r="M15" s="22"/>
      <c r="N15" s="56">
        <v>10</v>
      </c>
      <c r="O15" s="57" t="s">
        <v>157</v>
      </c>
      <c r="P15" s="58">
        <v>4</v>
      </c>
      <c r="Q15" s="58">
        <v>22</v>
      </c>
      <c r="R15" s="57"/>
      <c r="S15" s="57">
        <v>51</v>
      </c>
      <c r="T15" s="58" t="s">
        <v>209</v>
      </c>
      <c r="U15" s="34">
        <v>3</v>
      </c>
      <c r="V15" s="54">
        <v>5</v>
      </c>
      <c r="W15" s="60"/>
      <c r="X15" s="6"/>
    </row>
    <row r="16" spans="2:24" ht="12.75">
      <c r="B16" s="53">
        <v>11</v>
      </c>
      <c r="C16" s="54" t="s">
        <v>24</v>
      </c>
      <c r="D16" s="34">
        <v>82</v>
      </c>
      <c r="E16" s="54">
        <v>85</v>
      </c>
      <c r="F16" s="54"/>
      <c r="G16" s="54">
        <v>52</v>
      </c>
      <c r="H16" s="54" t="s">
        <v>70</v>
      </c>
      <c r="I16" s="54"/>
      <c r="J16" s="54"/>
      <c r="K16" s="54"/>
      <c r="L16" s="55"/>
      <c r="M16" s="22"/>
      <c r="N16" s="56">
        <v>11</v>
      </c>
      <c r="O16" s="57" t="s">
        <v>144</v>
      </c>
      <c r="P16" s="58">
        <v>14</v>
      </c>
      <c r="Q16" s="57">
        <v>15</v>
      </c>
      <c r="R16" s="57"/>
      <c r="S16" s="57">
        <v>52</v>
      </c>
      <c r="T16" s="58" t="s">
        <v>147</v>
      </c>
      <c r="U16" s="34">
        <v>5</v>
      </c>
      <c r="V16" s="54">
        <v>3</v>
      </c>
      <c r="W16" s="23"/>
      <c r="X16" s="6"/>
    </row>
    <row r="17" spans="2:24" ht="12.75">
      <c r="B17" s="53">
        <v>12</v>
      </c>
      <c r="C17" s="54" t="s">
        <v>25</v>
      </c>
      <c r="D17" s="34">
        <v>478</v>
      </c>
      <c r="E17" s="54">
        <v>411</v>
      </c>
      <c r="F17" s="54"/>
      <c r="G17" s="97"/>
      <c r="H17" s="54"/>
      <c r="I17" s="54"/>
      <c r="J17" s="54"/>
      <c r="K17" s="54"/>
      <c r="L17" s="55"/>
      <c r="M17" s="22"/>
      <c r="N17" s="56">
        <v>12</v>
      </c>
      <c r="O17" s="57" t="s">
        <v>158</v>
      </c>
      <c r="P17" s="58">
        <v>1</v>
      </c>
      <c r="Q17" s="58"/>
      <c r="R17" s="57"/>
      <c r="S17" s="57">
        <v>53</v>
      </c>
      <c r="T17" s="57" t="s">
        <v>210</v>
      </c>
      <c r="U17" s="54"/>
      <c r="V17" s="54"/>
      <c r="W17" s="23"/>
      <c r="X17" s="6"/>
    </row>
    <row r="18" spans="2:24" ht="12.75">
      <c r="B18" s="53">
        <v>13</v>
      </c>
      <c r="C18" s="54" t="s">
        <v>26</v>
      </c>
      <c r="D18" s="34">
        <v>395</v>
      </c>
      <c r="E18" s="54">
        <v>477</v>
      </c>
      <c r="F18" s="54"/>
      <c r="G18" s="97"/>
      <c r="H18" s="54"/>
      <c r="I18" s="54"/>
      <c r="J18" s="54"/>
      <c r="K18" s="54"/>
      <c r="L18" s="55"/>
      <c r="M18" s="22"/>
      <c r="N18" s="56">
        <v>13</v>
      </c>
      <c r="O18" s="57" t="s">
        <v>159</v>
      </c>
      <c r="P18" s="58">
        <v>1</v>
      </c>
      <c r="Q18" s="57"/>
      <c r="R18" s="57"/>
      <c r="S18" s="57">
        <v>54</v>
      </c>
      <c r="T18" s="57" t="s">
        <v>212</v>
      </c>
      <c r="U18" s="34"/>
      <c r="V18" s="54"/>
      <c r="W18" s="60"/>
      <c r="X18" s="6"/>
    </row>
    <row r="19" spans="2:24" ht="12.75">
      <c r="B19" s="53">
        <v>14</v>
      </c>
      <c r="C19" s="54" t="s">
        <v>71</v>
      </c>
      <c r="D19" s="34">
        <v>1</v>
      </c>
      <c r="E19" s="54">
        <v>1</v>
      </c>
      <c r="F19" s="54"/>
      <c r="G19" s="54">
        <v>53</v>
      </c>
      <c r="H19" s="54" t="s">
        <v>72</v>
      </c>
      <c r="I19" s="54"/>
      <c r="J19" s="54"/>
      <c r="K19" s="54"/>
      <c r="L19" s="55"/>
      <c r="M19" s="22"/>
      <c r="N19" s="56">
        <v>14</v>
      </c>
      <c r="O19" s="57" t="s">
        <v>160</v>
      </c>
      <c r="P19" s="58">
        <v>4</v>
      </c>
      <c r="Q19" s="57">
        <v>6</v>
      </c>
      <c r="R19" s="57"/>
      <c r="S19" s="57">
        <v>55</v>
      </c>
      <c r="T19" s="57" t="s">
        <v>197</v>
      </c>
      <c r="U19" s="34"/>
      <c r="V19" s="54"/>
      <c r="W19" s="60"/>
      <c r="X19" s="6"/>
    </row>
    <row r="20" spans="2:24" ht="12.75">
      <c r="B20" s="53">
        <v>15</v>
      </c>
      <c r="C20" s="34" t="s">
        <v>27</v>
      </c>
      <c r="D20" s="34">
        <v>7</v>
      </c>
      <c r="E20" s="54">
        <v>8</v>
      </c>
      <c r="F20" s="57"/>
      <c r="G20" s="54">
        <v>54</v>
      </c>
      <c r="H20" s="54" t="s">
        <v>74</v>
      </c>
      <c r="I20" s="54">
        <v>7</v>
      </c>
      <c r="J20" s="34">
        <v>21</v>
      </c>
      <c r="K20" s="54">
        <v>2</v>
      </c>
      <c r="L20" s="55"/>
      <c r="M20" s="22"/>
      <c r="N20" s="56">
        <v>15</v>
      </c>
      <c r="O20" s="57" t="s">
        <v>222</v>
      </c>
      <c r="P20" s="57">
        <v>1</v>
      </c>
      <c r="Q20" s="58"/>
      <c r="R20" s="57"/>
      <c r="S20" s="57">
        <v>56</v>
      </c>
      <c r="T20" s="57" t="s">
        <v>213</v>
      </c>
      <c r="U20" s="34"/>
      <c r="V20" s="54"/>
      <c r="W20" s="60"/>
      <c r="X20" s="6"/>
    </row>
    <row r="21" spans="2:24" ht="12.75">
      <c r="B21" s="53">
        <v>16</v>
      </c>
      <c r="C21" s="54" t="s">
        <v>28</v>
      </c>
      <c r="D21" s="34">
        <v>184</v>
      </c>
      <c r="E21" s="54">
        <v>362</v>
      </c>
      <c r="F21" s="54"/>
      <c r="G21" s="54">
        <v>55</v>
      </c>
      <c r="H21" s="54" t="s">
        <v>50</v>
      </c>
      <c r="I21" s="54">
        <v>6</v>
      </c>
      <c r="J21" s="34">
        <v>6</v>
      </c>
      <c r="K21" s="54">
        <v>7</v>
      </c>
      <c r="L21" s="55"/>
      <c r="M21" s="22"/>
      <c r="N21" s="56">
        <v>16</v>
      </c>
      <c r="O21" s="57" t="s">
        <v>141</v>
      </c>
      <c r="P21" s="58">
        <v>3</v>
      </c>
      <c r="Q21" s="57">
        <v>10</v>
      </c>
      <c r="R21" s="57"/>
      <c r="S21" s="57">
        <v>57</v>
      </c>
      <c r="T21" s="57" t="s">
        <v>200</v>
      </c>
      <c r="U21" s="34"/>
      <c r="V21" s="54"/>
      <c r="W21" s="60"/>
      <c r="X21" s="6"/>
    </row>
    <row r="22" spans="2:24" ht="12.75">
      <c r="B22" s="53">
        <v>17</v>
      </c>
      <c r="C22" s="54" t="s">
        <v>29</v>
      </c>
      <c r="D22" s="34">
        <v>64</v>
      </c>
      <c r="E22" s="54">
        <v>47</v>
      </c>
      <c r="F22" s="54"/>
      <c r="G22" s="54">
        <v>56</v>
      </c>
      <c r="H22" s="54" t="s">
        <v>76</v>
      </c>
      <c r="I22" s="54">
        <v>6</v>
      </c>
      <c r="J22" s="34">
        <v>4</v>
      </c>
      <c r="K22" s="54">
        <v>1</v>
      </c>
      <c r="L22" s="55"/>
      <c r="M22" s="22"/>
      <c r="N22" s="56">
        <v>17</v>
      </c>
      <c r="O22" s="57" t="s">
        <v>162</v>
      </c>
      <c r="P22" s="57">
        <v>19</v>
      </c>
      <c r="Q22" s="58">
        <v>10</v>
      </c>
      <c r="R22" s="57"/>
      <c r="S22" s="57">
        <v>58</v>
      </c>
      <c r="T22" s="57" t="s">
        <v>214</v>
      </c>
      <c r="U22" s="34"/>
      <c r="V22" s="54"/>
      <c r="W22" s="60"/>
      <c r="X22" s="6"/>
    </row>
    <row r="23" spans="2:24" ht="12.75">
      <c r="B23" s="53">
        <v>18</v>
      </c>
      <c r="C23" s="54" t="s">
        <v>30</v>
      </c>
      <c r="D23" s="34">
        <v>407</v>
      </c>
      <c r="E23" s="54">
        <v>628</v>
      </c>
      <c r="F23" s="54"/>
      <c r="G23" s="54">
        <v>57</v>
      </c>
      <c r="H23" s="54" t="s">
        <v>51</v>
      </c>
      <c r="I23" s="54">
        <v>1574</v>
      </c>
      <c r="J23" s="34">
        <v>87</v>
      </c>
      <c r="K23" s="54">
        <v>24</v>
      </c>
      <c r="L23" s="55"/>
      <c r="M23" s="22"/>
      <c r="N23" s="56">
        <v>18</v>
      </c>
      <c r="O23" s="57" t="s">
        <v>163</v>
      </c>
      <c r="P23" s="58">
        <v>2</v>
      </c>
      <c r="Q23" s="57">
        <v>2</v>
      </c>
      <c r="R23" s="57"/>
      <c r="S23" s="57">
        <v>59</v>
      </c>
      <c r="T23" s="57" t="s">
        <v>215</v>
      </c>
      <c r="U23" s="34"/>
      <c r="V23" s="54"/>
      <c r="W23" s="60"/>
      <c r="X23" s="6"/>
    </row>
    <row r="24" spans="2:24" ht="12.75">
      <c r="B24" s="53">
        <v>19</v>
      </c>
      <c r="C24" s="54" t="s">
        <v>31</v>
      </c>
      <c r="D24" s="34">
        <v>449</v>
      </c>
      <c r="E24" s="54">
        <v>520</v>
      </c>
      <c r="F24" s="54"/>
      <c r="G24" s="54">
        <v>58</v>
      </c>
      <c r="H24" s="54" t="s">
        <v>77</v>
      </c>
      <c r="I24" s="54"/>
      <c r="J24" s="34">
        <v>18</v>
      </c>
      <c r="K24" s="54" t="s">
        <v>296</v>
      </c>
      <c r="L24" s="55"/>
      <c r="M24" s="22"/>
      <c r="N24" s="56">
        <v>19</v>
      </c>
      <c r="O24" s="57" t="s">
        <v>164</v>
      </c>
      <c r="P24" s="58">
        <v>5</v>
      </c>
      <c r="Q24" s="57">
        <v>1</v>
      </c>
      <c r="R24" s="57"/>
      <c r="S24" s="57">
        <v>60</v>
      </c>
      <c r="T24" s="57" t="s">
        <v>216</v>
      </c>
      <c r="U24" s="54"/>
      <c r="V24" s="54"/>
      <c r="W24" s="60"/>
      <c r="X24" s="6"/>
    </row>
    <row r="25" spans="2:24" ht="12.75">
      <c r="B25" s="53">
        <v>20</v>
      </c>
      <c r="C25" s="54" t="s">
        <v>32</v>
      </c>
      <c r="D25" s="34">
        <v>38</v>
      </c>
      <c r="E25" s="54">
        <v>55</v>
      </c>
      <c r="F25" s="54"/>
      <c r="G25" s="54">
        <v>59</v>
      </c>
      <c r="H25" s="54" t="s">
        <v>75</v>
      </c>
      <c r="I25" s="54">
        <v>4</v>
      </c>
      <c r="J25" s="34">
        <v>9</v>
      </c>
      <c r="K25" s="54">
        <v>6</v>
      </c>
      <c r="L25" s="55"/>
      <c r="M25" s="22"/>
      <c r="N25" s="56">
        <v>20</v>
      </c>
      <c r="O25" s="57" t="s">
        <v>195</v>
      </c>
      <c r="P25" s="58"/>
      <c r="Q25" s="57"/>
      <c r="R25" s="57"/>
      <c r="S25" s="57">
        <v>61</v>
      </c>
      <c r="T25" s="57" t="s">
        <v>186</v>
      </c>
      <c r="U25" s="34">
        <v>4</v>
      </c>
      <c r="V25" s="54">
        <v>4</v>
      </c>
      <c r="W25" s="60"/>
      <c r="X25" s="6"/>
    </row>
    <row r="26" spans="2:24" ht="12.75">
      <c r="B26" s="53">
        <v>21</v>
      </c>
      <c r="C26" s="54" t="s">
        <v>33</v>
      </c>
      <c r="D26" s="34">
        <v>21</v>
      </c>
      <c r="E26" s="54">
        <v>16</v>
      </c>
      <c r="F26" s="54"/>
      <c r="G26" s="54">
        <v>60</v>
      </c>
      <c r="H26" s="54" t="s">
        <v>53</v>
      </c>
      <c r="I26" s="54"/>
      <c r="J26" s="34">
        <v>7</v>
      </c>
      <c r="K26" s="54">
        <v>2</v>
      </c>
      <c r="L26" s="55"/>
      <c r="M26" s="22"/>
      <c r="N26" s="56">
        <v>21</v>
      </c>
      <c r="O26" s="57" t="s">
        <v>165</v>
      </c>
      <c r="P26" s="58">
        <v>1</v>
      </c>
      <c r="Q26" s="57">
        <v>1</v>
      </c>
      <c r="R26" s="57"/>
      <c r="S26" s="57">
        <v>62</v>
      </c>
      <c r="T26" s="57" t="s">
        <v>196</v>
      </c>
      <c r="U26" s="54"/>
      <c r="V26" s="54"/>
      <c r="W26" s="60"/>
      <c r="X26" s="6"/>
    </row>
    <row r="27" spans="2:24" ht="12.75">
      <c r="B27" s="53">
        <v>22</v>
      </c>
      <c r="C27" s="54" t="s">
        <v>34</v>
      </c>
      <c r="D27" s="34">
        <v>74</v>
      </c>
      <c r="E27" s="54">
        <v>84</v>
      </c>
      <c r="F27" s="54"/>
      <c r="G27" s="54">
        <v>61</v>
      </c>
      <c r="H27" s="54" t="s">
        <v>78</v>
      </c>
      <c r="I27" s="54">
        <v>4</v>
      </c>
      <c r="J27" s="34"/>
      <c r="K27" s="54"/>
      <c r="L27" s="55"/>
      <c r="M27" s="22"/>
      <c r="N27" s="56">
        <v>22</v>
      </c>
      <c r="O27" s="57" t="s">
        <v>166</v>
      </c>
      <c r="P27" s="58"/>
      <c r="Q27" s="57"/>
      <c r="R27" s="57"/>
      <c r="S27" s="57">
        <v>63</v>
      </c>
      <c r="T27" s="57" t="s">
        <v>175</v>
      </c>
      <c r="U27" s="54"/>
      <c r="V27" s="54"/>
      <c r="W27" s="60"/>
      <c r="X27" s="6"/>
    </row>
    <row r="28" spans="2:24" ht="12.75">
      <c r="B28" s="53">
        <v>23</v>
      </c>
      <c r="C28" s="54" t="s">
        <v>79</v>
      </c>
      <c r="D28" s="34">
        <v>10</v>
      </c>
      <c r="E28" s="54">
        <v>9</v>
      </c>
      <c r="F28" s="54"/>
      <c r="G28" s="54">
        <v>62</v>
      </c>
      <c r="H28" s="97"/>
      <c r="I28" s="97"/>
      <c r="J28" s="97"/>
      <c r="K28" s="97"/>
      <c r="L28" s="55"/>
      <c r="M28" s="22"/>
      <c r="N28" s="56">
        <v>23</v>
      </c>
      <c r="O28" s="57" t="s">
        <v>167</v>
      </c>
      <c r="P28" s="58">
        <v>13</v>
      </c>
      <c r="Q28" s="57">
        <v>10</v>
      </c>
      <c r="R28" s="57"/>
      <c r="S28" s="57">
        <v>64</v>
      </c>
      <c r="T28" s="57" t="s">
        <v>223</v>
      </c>
      <c r="U28" s="54"/>
      <c r="V28" s="54"/>
      <c r="W28" s="60"/>
      <c r="X28" s="6"/>
    </row>
    <row r="29" spans="2:24" ht="12.75">
      <c r="B29" s="53">
        <v>24</v>
      </c>
      <c r="C29" s="54" t="s">
        <v>80</v>
      </c>
      <c r="D29" s="34">
        <v>10</v>
      </c>
      <c r="E29" s="54">
        <v>10</v>
      </c>
      <c r="F29" s="54"/>
      <c r="G29" s="54"/>
      <c r="H29" s="54"/>
      <c r="I29" s="54"/>
      <c r="J29" s="54"/>
      <c r="K29" s="54"/>
      <c r="L29" s="55"/>
      <c r="M29" s="22"/>
      <c r="N29" s="56">
        <v>24</v>
      </c>
      <c r="O29" s="57" t="s">
        <v>168</v>
      </c>
      <c r="P29" s="58">
        <v>47</v>
      </c>
      <c r="Q29" s="57">
        <v>48</v>
      </c>
      <c r="R29" s="57"/>
      <c r="S29" s="57">
        <v>65</v>
      </c>
      <c r="T29" s="57" t="s">
        <v>224</v>
      </c>
      <c r="U29" s="54"/>
      <c r="V29" s="54"/>
      <c r="W29" s="60"/>
      <c r="X29" s="6"/>
    </row>
    <row r="30" spans="2:24" ht="12.75">
      <c r="B30" s="53">
        <v>25</v>
      </c>
      <c r="C30" s="54" t="s">
        <v>81</v>
      </c>
      <c r="D30" s="34">
        <v>6</v>
      </c>
      <c r="E30" s="54">
        <v>1</v>
      </c>
      <c r="F30" s="54"/>
      <c r="G30" s="54"/>
      <c r="H30" s="54"/>
      <c r="I30" s="54"/>
      <c r="J30" s="54"/>
      <c r="K30" s="54"/>
      <c r="L30" s="55"/>
      <c r="M30" s="22"/>
      <c r="N30" s="56">
        <v>25</v>
      </c>
      <c r="O30" s="57" t="s">
        <v>169</v>
      </c>
      <c r="P30" s="58">
        <v>7</v>
      </c>
      <c r="Q30" s="57">
        <v>15</v>
      </c>
      <c r="R30" s="57"/>
      <c r="S30" s="57">
        <v>66</v>
      </c>
      <c r="T30" s="57" t="s">
        <v>198</v>
      </c>
      <c r="U30" s="54">
        <v>2</v>
      </c>
      <c r="V30" s="54">
        <v>2</v>
      </c>
      <c r="W30" s="60"/>
      <c r="X30" s="6"/>
    </row>
    <row r="31" spans="2:24" ht="12.75">
      <c r="B31" s="53">
        <v>26</v>
      </c>
      <c r="C31" s="54" t="s">
        <v>35</v>
      </c>
      <c r="D31" s="34">
        <v>116</v>
      </c>
      <c r="E31" s="54">
        <v>113</v>
      </c>
      <c r="F31" s="54"/>
      <c r="G31" s="54"/>
      <c r="H31" s="54"/>
      <c r="I31" s="54"/>
      <c r="J31" s="54"/>
      <c r="K31" s="54"/>
      <c r="L31" s="55"/>
      <c r="M31" s="22"/>
      <c r="N31" s="56">
        <v>26</v>
      </c>
      <c r="O31" s="54" t="s">
        <v>170</v>
      </c>
      <c r="P31" s="58">
        <v>2</v>
      </c>
      <c r="Q31" s="57">
        <v>2</v>
      </c>
      <c r="R31" s="57"/>
      <c r="S31" s="57">
        <v>67</v>
      </c>
      <c r="T31" s="57" t="s">
        <v>250</v>
      </c>
      <c r="U31" s="54">
        <v>1</v>
      </c>
      <c r="V31" s="54"/>
      <c r="W31" s="60"/>
      <c r="X31" s="6"/>
    </row>
    <row r="32" spans="2:24" ht="12.75">
      <c r="B32" s="53">
        <v>27</v>
      </c>
      <c r="C32" s="54" t="s">
        <v>36</v>
      </c>
      <c r="D32" s="34">
        <v>34</v>
      </c>
      <c r="E32" s="54">
        <v>48</v>
      </c>
      <c r="F32" s="54"/>
      <c r="G32" s="54">
        <v>63</v>
      </c>
      <c r="H32" s="54" t="s">
        <v>82</v>
      </c>
      <c r="I32" s="54">
        <v>7</v>
      </c>
      <c r="J32" s="34">
        <v>5</v>
      </c>
      <c r="K32" s="54">
        <v>4</v>
      </c>
      <c r="L32" s="55"/>
      <c r="M32" s="22"/>
      <c r="N32" s="56">
        <v>27</v>
      </c>
      <c r="O32" s="54" t="s">
        <v>146</v>
      </c>
      <c r="P32" s="58">
        <v>1</v>
      </c>
      <c r="Q32" s="57">
        <v>2</v>
      </c>
      <c r="R32" s="57"/>
      <c r="S32" s="57">
        <v>68</v>
      </c>
      <c r="T32" s="57" t="s">
        <v>236</v>
      </c>
      <c r="U32" s="54"/>
      <c r="V32" s="54"/>
      <c r="W32" s="60"/>
      <c r="X32" s="6"/>
    </row>
    <row r="33" spans="2:24" ht="12.75">
      <c r="B33" s="53">
        <v>28</v>
      </c>
      <c r="C33" s="54" t="s">
        <v>37</v>
      </c>
      <c r="D33" s="34">
        <v>21</v>
      </c>
      <c r="E33" s="34">
        <v>26</v>
      </c>
      <c r="F33" s="54"/>
      <c r="G33" s="54">
        <v>64</v>
      </c>
      <c r="H33" s="54" t="s">
        <v>83</v>
      </c>
      <c r="I33" s="54">
        <v>9</v>
      </c>
      <c r="J33" s="34">
        <v>3</v>
      </c>
      <c r="K33" s="54">
        <v>5</v>
      </c>
      <c r="L33" s="55"/>
      <c r="M33" s="22"/>
      <c r="N33" s="56">
        <v>28</v>
      </c>
      <c r="O33" s="54" t="s">
        <v>143</v>
      </c>
      <c r="P33" s="58">
        <v>20</v>
      </c>
      <c r="Q33" s="57">
        <v>18</v>
      </c>
      <c r="R33" s="57"/>
      <c r="S33" s="57">
        <v>69</v>
      </c>
      <c r="T33" s="57" t="s">
        <v>237</v>
      </c>
      <c r="U33" s="54"/>
      <c r="V33" s="54"/>
      <c r="W33" s="60"/>
      <c r="X33" s="6"/>
    </row>
    <row r="34" spans="2:24" ht="12.75">
      <c r="B34" s="53">
        <v>29</v>
      </c>
      <c r="C34" s="54" t="s">
        <v>38</v>
      </c>
      <c r="D34" s="34">
        <v>100</v>
      </c>
      <c r="E34" s="54">
        <v>121</v>
      </c>
      <c r="F34" s="54"/>
      <c r="G34" s="54">
        <v>65</v>
      </c>
      <c r="H34" s="54" t="s">
        <v>84</v>
      </c>
      <c r="I34" s="54">
        <v>25</v>
      </c>
      <c r="J34" s="34">
        <v>11</v>
      </c>
      <c r="K34" s="54">
        <v>20</v>
      </c>
      <c r="L34" s="55"/>
      <c r="M34" s="22"/>
      <c r="N34" s="56">
        <v>29</v>
      </c>
      <c r="O34" s="54" t="s">
        <v>171</v>
      </c>
      <c r="P34" s="58"/>
      <c r="Q34" s="57"/>
      <c r="R34" s="57"/>
      <c r="S34" s="57">
        <v>70</v>
      </c>
      <c r="T34" s="57" t="s">
        <v>238</v>
      </c>
      <c r="U34" s="54">
        <v>60</v>
      </c>
      <c r="V34" s="54">
        <v>8</v>
      </c>
      <c r="W34" s="60"/>
      <c r="X34" s="6"/>
    </row>
    <row r="35" spans="2:24" ht="12.75">
      <c r="B35" s="53">
        <v>30</v>
      </c>
      <c r="C35" s="54" t="s">
        <v>39</v>
      </c>
      <c r="D35" s="34">
        <v>20</v>
      </c>
      <c r="E35" s="54">
        <v>19</v>
      </c>
      <c r="F35" s="54"/>
      <c r="G35" s="54">
        <v>66</v>
      </c>
      <c r="H35" s="54" t="s">
        <v>85</v>
      </c>
      <c r="I35" s="54"/>
      <c r="J35" s="34">
        <v>3</v>
      </c>
      <c r="K35" s="54">
        <v>2</v>
      </c>
      <c r="L35" s="55"/>
      <c r="M35" s="22"/>
      <c r="N35" s="56">
        <v>30</v>
      </c>
      <c r="O35" s="57" t="s">
        <v>172</v>
      </c>
      <c r="P35" s="58"/>
      <c r="Q35" s="57">
        <v>1</v>
      </c>
      <c r="R35" s="57"/>
      <c r="S35" s="57">
        <v>71</v>
      </c>
      <c r="T35" s="57" t="s">
        <v>179</v>
      </c>
      <c r="U35" s="54"/>
      <c r="V35" s="54"/>
      <c r="W35" s="60"/>
      <c r="X35" s="6"/>
    </row>
    <row r="36" spans="2:24" ht="12.75">
      <c r="B36" s="53">
        <v>31</v>
      </c>
      <c r="C36" s="54" t="s">
        <v>86</v>
      </c>
      <c r="D36" s="34">
        <v>54</v>
      </c>
      <c r="E36" s="54">
        <v>27</v>
      </c>
      <c r="F36" s="54"/>
      <c r="G36" s="54">
        <v>67</v>
      </c>
      <c r="H36" s="54" t="s">
        <v>87</v>
      </c>
      <c r="I36" s="54">
        <v>7</v>
      </c>
      <c r="J36" s="34">
        <v>3</v>
      </c>
      <c r="K36" s="54">
        <v>2</v>
      </c>
      <c r="L36" s="55"/>
      <c r="M36" s="22"/>
      <c r="N36" s="56">
        <v>31</v>
      </c>
      <c r="O36" s="54" t="s">
        <v>173</v>
      </c>
      <c r="P36" s="58">
        <v>5</v>
      </c>
      <c r="Q36" s="57">
        <v>7</v>
      </c>
      <c r="R36" s="57"/>
      <c r="S36" s="57">
        <v>72</v>
      </c>
      <c r="T36" s="57" t="s">
        <v>239</v>
      </c>
      <c r="U36" s="54"/>
      <c r="V36" s="54"/>
      <c r="W36" s="60"/>
      <c r="X36" s="6"/>
    </row>
    <row r="37" spans="2:24" ht="12.75">
      <c r="B37" s="53">
        <v>32</v>
      </c>
      <c r="C37" s="54" t="s">
        <v>40</v>
      </c>
      <c r="D37" s="54"/>
      <c r="E37" s="54"/>
      <c r="F37" s="54"/>
      <c r="G37" s="54">
        <v>68</v>
      </c>
      <c r="H37" s="54" t="s">
        <v>88</v>
      </c>
      <c r="I37" s="54">
        <v>5</v>
      </c>
      <c r="J37" s="54"/>
      <c r="K37" s="54">
        <v>1</v>
      </c>
      <c r="L37" s="55"/>
      <c r="M37" s="22"/>
      <c r="N37" s="56">
        <v>32</v>
      </c>
      <c r="O37" s="57" t="s">
        <v>174</v>
      </c>
      <c r="P37" s="34">
        <v>65</v>
      </c>
      <c r="Q37" s="54">
        <v>3</v>
      </c>
      <c r="R37" s="54"/>
      <c r="S37" s="57">
        <v>73</v>
      </c>
      <c r="T37" s="57" t="s">
        <v>240</v>
      </c>
      <c r="U37" s="54"/>
      <c r="V37" s="54"/>
      <c r="W37" s="60"/>
      <c r="X37" s="6"/>
    </row>
    <row r="38" spans="2:24" ht="12.75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5"/>
      <c r="M38" s="22"/>
      <c r="N38" s="56">
        <v>33</v>
      </c>
      <c r="O38" s="57" t="s">
        <v>191</v>
      </c>
      <c r="P38" s="34"/>
      <c r="Q38" s="54"/>
      <c r="R38" s="54"/>
      <c r="S38" s="57">
        <v>74</v>
      </c>
      <c r="T38" s="57" t="s">
        <v>241</v>
      </c>
      <c r="U38" s="54"/>
      <c r="V38" s="54"/>
      <c r="W38" s="60"/>
      <c r="X38" s="6"/>
    </row>
    <row r="39" spans="2:24" ht="12.75"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5"/>
      <c r="M39" s="22"/>
      <c r="N39" s="56">
        <v>34</v>
      </c>
      <c r="O39" s="57" t="s">
        <v>177</v>
      </c>
      <c r="P39" s="91">
        <v>1</v>
      </c>
      <c r="Q39" s="34"/>
      <c r="R39" s="54"/>
      <c r="S39" s="57">
        <v>75</v>
      </c>
      <c r="T39" s="57" t="s">
        <v>242</v>
      </c>
      <c r="U39" s="54"/>
      <c r="V39" s="54"/>
      <c r="W39" s="60"/>
      <c r="X39" s="6"/>
    </row>
    <row r="40" spans="2:24" ht="12.75"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5"/>
      <c r="M40" s="22"/>
      <c r="N40" s="56">
        <v>35</v>
      </c>
      <c r="O40" s="54" t="s">
        <v>294</v>
      </c>
      <c r="P40" s="34"/>
      <c r="Q40" s="54">
        <v>5</v>
      </c>
      <c r="R40" s="54"/>
      <c r="S40" s="57">
        <v>76</v>
      </c>
      <c r="T40" s="57" t="s">
        <v>217</v>
      </c>
      <c r="U40" s="54"/>
      <c r="V40" s="54"/>
      <c r="W40" s="60"/>
      <c r="X40" s="6"/>
    </row>
    <row r="41" spans="2:24" ht="12.75">
      <c r="B41" s="53">
        <v>33</v>
      </c>
      <c r="C41" s="54" t="s">
        <v>41</v>
      </c>
      <c r="D41" s="34">
        <v>4</v>
      </c>
      <c r="E41" s="54">
        <v>1</v>
      </c>
      <c r="F41" s="54"/>
      <c r="G41" s="54"/>
      <c r="H41" s="54"/>
      <c r="I41" s="54"/>
      <c r="J41" s="54"/>
      <c r="K41" s="54"/>
      <c r="L41" s="55"/>
      <c r="M41" s="22"/>
      <c r="N41" s="56">
        <v>36</v>
      </c>
      <c r="O41" s="54" t="s">
        <v>175</v>
      </c>
      <c r="P41" s="34">
        <v>1</v>
      </c>
      <c r="Q41" s="54">
        <v>4</v>
      </c>
      <c r="R41" s="54"/>
      <c r="S41" s="57">
        <v>77</v>
      </c>
      <c r="T41" s="57" t="s">
        <v>243</v>
      </c>
      <c r="U41" s="54"/>
      <c r="V41" s="54"/>
      <c r="W41" s="60"/>
      <c r="X41" s="6"/>
    </row>
    <row r="42" spans="2:24" ht="12.75">
      <c r="B42" s="53">
        <v>34</v>
      </c>
      <c r="C42" s="54" t="s">
        <v>42</v>
      </c>
      <c r="D42" s="34">
        <v>68</v>
      </c>
      <c r="E42" s="54">
        <v>5</v>
      </c>
      <c r="F42" s="54"/>
      <c r="G42" s="54"/>
      <c r="H42" s="54" t="s">
        <v>89</v>
      </c>
      <c r="I42" s="54"/>
      <c r="J42" s="63">
        <f>U47</f>
        <v>401</v>
      </c>
      <c r="K42" s="63">
        <f>V47</f>
        <v>282</v>
      </c>
      <c r="L42" s="55">
        <f>W46</f>
        <v>0</v>
      </c>
      <c r="M42" s="22"/>
      <c r="N42" s="56">
        <v>37</v>
      </c>
      <c r="O42" s="57" t="s">
        <v>247</v>
      </c>
      <c r="P42" s="34">
        <v>1</v>
      </c>
      <c r="Q42" s="54"/>
      <c r="R42" s="54"/>
      <c r="S42" s="57">
        <v>78</v>
      </c>
      <c r="T42" s="57" t="s">
        <v>291</v>
      </c>
      <c r="U42" s="54">
        <v>1</v>
      </c>
      <c r="V42" s="54"/>
      <c r="W42" s="60"/>
      <c r="X42" s="6"/>
    </row>
    <row r="43" spans="2:24" ht="12.75">
      <c r="B43" s="53">
        <v>35</v>
      </c>
      <c r="C43" s="54" t="s">
        <v>43</v>
      </c>
      <c r="D43" s="34">
        <v>2</v>
      </c>
      <c r="E43" s="54"/>
      <c r="F43" s="54"/>
      <c r="G43" s="54"/>
      <c r="H43" s="54" t="s">
        <v>55</v>
      </c>
      <c r="I43" s="64"/>
      <c r="J43" s="64">
        <f>SUM(D6:D51,J6:J42)</f>
        <v>20658</v>
      </c>
      <c r="K43" s="64">
        <f>SUM(E6:E51,K6:K42)</f>
        <v>25816</v>
      </c>
      <c r="L43" s="55">
        <f>SUM(F6:F51,L6:L42)</f>
        <v>0</v>
      </c>
      <c r="M43" s="22"/>
      <c r="N43" s="56">
        <v>38</v>
      </c>
      <c r="O43" s="57" t="s">
        <v>145</v>
      </c>
      <c r="P43" s="34">
        <v>5</v>
      </c>
      <c r="Q43" s="54">
        <v>3</v>
      </c>
      <c r="R43" s="54"/>
      <c r="S43" s="57">
        <v>79</v>
      </c>
      <c r="T43" s="57" t="s">
        <v>248</v>
      </c>
      <c r="U43" s="54"/>
      <c r="V43" s="54"/>
      <c r="W43" s="60"/>
      <c r="X43" s="6"/>
    </row>
    <row r="44" spans="2:24" ht="12.75">
      <c r="B44" s="53">
        <v>36</v>
      </c>
      <c r="C44" s="54" t="s">
        <v>90</v>
      </c>
      <c r="D44" s="54">
        <v>2</v>
      </c>
      <c r="E44" s="54"/>
      <c r="F44" s="54"/>
      <c r="G44" s="54"/>
      <c r="H44" s="54" t="s">
        <v>56</v>
      </c>
      <c r="I44" s="54"/>
      <c r="J44" s="54">
        <v>26950</v>
      </c>
      <c r="K44" s="54">
        <v>36109</v>
      </c>
      <c r="L44" s="55">
        <v>0</v>
      </c>
      <c r="M44" s="22"/>
      <c r="N44" s="56">
        <v>39</v>
      </c>
      <c r="O44" s="57" t="s">
        <v>212</v>
      </c>
      <c r="P44" s="54">
        <v>1</v>
      </c>
      <c r="Q44" s="54"/>
      <c r="R44" s="54"/>
      <c r="S44" s="57">
        <v>80</v>
      </c>
      <c r="T44" s="57" t="s">
        <v>249</v>
      </c>
      <c r="U44" s="54"/>
      <c r="V44" s="54"/>
      <c r="W44" s="60"/>
      <c r="X44" s="6"/>
    </row>
    <row r="45" spans="2:24" ht="12.75">
      <c r="B45" s="53">
        <v>37</v>
      </c>
      <c r="C45" s="54" t="s">
        <v>44</v>
      </c>
      <c r="D45" s="34">
        <v>13</v>
      </c>
      <c r="E45" s="54">
        <v>1</v>
      </c>
      <c r="F45" s="54"/>
      <c r="G45" s="54"/>
      <c r="H45" s="54" t="s">
        <v>91</v>
      </c>
      <c r="I45" s="54"/>
      <c r="J45" s="63">
        <f>SUM(J43:J44)</f>
        <v>47608</v>
      </c>
      <c r="K45" s="63">
        <f>SUM(K43:K44)</f>
        <v>61925</v>
      </c>
      <c r="L45" s="55">
        <f>SUM(L43:L44)</f>
        <v>0</v>
      </c>
      <c r="M45" s="22"/>
      <c r="N45" s="56">
        <v>40</v>
      </c>
      <c r="O45" s="57" t="s">
        <v>196</v>
      </c>
      <c r="P45" s="34"/>
      <c r="Q45" s="54">
        <v>1</v>
      </c>
      <c r="R45" s="54"/>
      <c r="S45" s="57">
        <v>81</v>
      </c>
      <c r="T45" s="57" t="s">
        <v>292</v>
      </c>
      <c r="U45" s="54">
        <v>1</v>
      </c>
      <c r="V45" s="54"/>
      <c r="W45" s="60"/>
      <c r="X45" s="6"/>
    </row>
    <row r="46" spans="2:24" ht="12.75">
      <c r="B46" s="53">
        <v>38</v>
      </c>
      <c r="C46" s="54" t="s">
        <v>45</v>
      </c>
      <c r="D46" s="34">
        <v>7</v>
      </c>
      <c r="E46" s="34">
        <v>12</v>
      </c>
      <c r="F46" s="54"/>
      <c r="G46" s="54"/>
      <c r="H46" s="24"/>
      <c r="I46" s="24"/>
      <c r="J46" s="24"/>
      <c r="K46" s="24"/>
      <c r="L46" s="25"/>
      <c r="M46" s="22"/>
      <c r="N46" s="56">
        <v>41</v>
      </c>
      <c r="O46" s="54" t="s">
        <v>205</v>
      </c>
      <c r="P46" s="34">
        <v>8</v>
      </c>
      <c r="Q46" s="54"/>
      <c r="R46" s="54"/>
      <c r="S46" s="57"/>
      <c r="T46" s="26" t="s">
        <v>263</v>
      </c>
      <c r="U46" s="54"/>
      <c r="V46" s="54"/>
      <c r="W46" s="60"/>
      <c r="X46" s="7"/>
    </row>
    <row r="47" spans="2:24" ht="12.75">
      <c r="B47" s="53">
        <v>39</v>
      </c>
      <c r="C47" s="54"/>
      <c r="D47" s="54"/>
      <c r="E47" s="54"/>
      <c r="F47" s="54"/>
      <c r="G47" s="54"/>
      <c r="H47" s="54"/>
      <c r="I47" s="54"/>
      <c r="J47" s="54"/>
      <c r="K47" s="54"/>
      <c r="L47" s="55"/>
      <c r="M47" s="21"/>
      <c r="N47" s="65"/>
      <c r="O47" s="66"/>
      <c r="P47" s="66"/>
      <c r="Q47" s="66"/>
      <c r="R47" s="66"/>
      <c r="S47" s="66"/>
      <c r="T47" s="34" t="s">
        <v>6</v>
      </c>
      <c r="U47" s="34">
        <f>SUM(P6:P46,U6:U46)</f>
        <v>401</v>
      </c>
      <c r="V47" s="34">
        <f>SUM(Q6:Q46,V5:V46)</f>
        <v>282</v>
      </c>
      <c r="W47" s="60">
        <f>SUM(R6:R46,W5:W45)</f>
        <v>0</v>
      </c>
      <c r="X47" s="6"/>
    </row>
    <row r="48" spans="2:26" ht="13.5" thickBot="1">
      <c r="B48" s="98"/>
      <c r="C48" s="97"/>
      <c r="D48" s="97"/>
      <c r="E48" s="97"/>
      <c r="F48" s="54"/>
      <c r="G48" s="54"/>
      <c r="H48" s="54"/>
      <c r="I48" s="54"/>
      <c r="J48" s="54"/>
      <c r="K48" s="54"/>
      <c r="L48" s="55"/>
      <c r="M48" s="21"/>
      <c r="N48" s="328" t="s">
        <v>94</v>
      </c>
      <c r="O48" s="329"/>
      <c r="P48" s="329"/>
      <c r="Q48" s="329"/>
      <c r="R48" s="329"/>
      <c r="S48" s="329"/>
      <c r="T48" s="329"/>
      <c r="U48" s="329"/>
      <c r="V48" s="329"/>
      <c r="W48" s="330"/>
      <c r="X48" s="7"/>
      <c r="Y48" s="1"/>
      <c r="Z48" s="1"/>
    </row>
    <row r="49" spans="2:26" ht="12.75"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5"/>
      <c r="M49" s="21"/>
      <c r="N49" s="21"/>
      <c r="O49" s="21"/>
      <c r="P49" s="21"/>
      <c r="Q49" s="21"/>
      <c r="R49" s="21"/>
      <c r="S49" s="21"/>
      <c r="T49" s="21"/>
      <c r="U49" s="27"/>
      <c r="V49" s="21"/>
      <c r="W49" s="21"/>
      <c r="Y49" s="1"/>
      <c r="Z49" s="1"/>
    </row>
    <row r="50" spans="2:26" ht="12.75">
      <c r="B50" s="53">
        <v>40</v>
      </c>
      <c r="C50" s="54" t="s">
        <v>92</v>
      </c>
      <c r="D50" s="54"/>
      <c r="E50" s="54"/>
      <c r="F50" s="54"/>
      <c r="G50" s="54"/>
      <c r="H50" s="54"/>
      <c r="I50" s="54"/>
      <c r="J50" s="54"/>
      <c r="K50" s="54"/>
      <c r="L50" s="55"/>
      <c r="M50" s="21"/>
      <c r="N50" s="21"/>
      <c r="O50" s="21"/>
      <c r="P50" s="27"/>
      <c r="Q50" s="21"/>
      <c r="R50" s="21"/>
      <c r="S50" s="21"/>
      <c r="T50" s="21"/>
      <c r="U50" s="21"/>
      <c r="V50" s="21"/>
      <c r="W50" s="21"/>
      <c r="Y50" s="1"/>
      <c r="Z50" s="1"/>
    </row>
    <row r="51" spans="2:26" ht="12.75">
      <c r="B51" s="53">
        <v>41</v>
      </c>
      <c r="C51" s="54" t="s">
        <v>93</v>
      </c>
      <c r="D51" s="54">
        <v>1</v>
      </c>
      <c r="E51" s="54"/>
      <c r="F51" s="54"/>
      <c r="G51" s="54"/>
      <c r="H51" s="54"/>
      <c r="I51" s="54"/>
      <c r="J51" s="54"/>
      <c r="K51" s="54"/>
      <c r="L51" s="55"/>
      <c r="M51" s="21"/>
      <c r="N51" s="21"/>
      <c r="O51" s="27"/>
      <c r="P51" s="21"/>
      <c r="Q51" s="21"/>
      <c r="R51" s="21"/>
      <c r="S51" s="21"/>
      <c r="T51" s="21"/>
      <c r="U51" s="21"/>
      <c r="V51" s="21"/>
      <c r="W51" s="21"/>
      <c r="Y51" s="1"/>
      <c r="Z51" s="1"/>
    </row>
    <row r="52" spans="2:26" ht="12.75">
      <c r="B52" s="28"/>
      <c r="C52" s="67"/>
      <c r="D52" s="67"/>
      <c r="E52" s="67"/>
      <c r="F52" s="67"/>
      <c r="G52" s="67"/>
      <c r="H52" s="67"/>
      <c r="I52" s="67"/>
      <c r="J52" s="67"/>
      <c r="K52" s="67"/>
      <c r="L52" s="68"/>
      <c r="M52" s="29"/>
      <c r="N52" s="27"/>
      <c r="O52" s="27"/>
      <c r="P52" s="21"/>
      <c r="Q52" s="21"/>
      <c r="R52" s="21"/>
      <c r="S52" s="21"/>
      <c r="T52" s="21"/>
      <c r="U52" s="21"/>
      <c r="V52" s="21"/>
      <c r="W52" s="21"/>
      <c r="Y52" s="102"/>
      <c r="Z52" s="102"/>
    </row>
    <row r="53" spans="2:26" ht="13.5" thickBot="1">
      <c r="B53" s="324" t="s">
        <v>94</v>
      </c>
      <c r="C53" s="325"/>
      <c r="D53" s="325"/>
      <c r="E53" s="325"/>
      <c r="F53" s="325"/>
      <c r="G53" s="325"/>
      <c r="H53" s="325"/>
      <c r="I53" s="325"/>
      <c r="J53" s="325"/>
      <c r="K53" s="325"/>
      <c r="L53" s="326"/>
      <c r="M53" s="29"/>
      <c r="N53" s="21"/>
      <c r="O53" s="21"/>
      <c r="P53" s="21"/>
      <c r="Q53" s="21"/>
      <c r="R53" s="21"/>
      <c r="S53" s="21"/>
      <c r="T53" s="21"/>
      <c r="U53" s="21"/>
      <c r="V53" s="21"/>
      <c r="W53" s="21"/>
      <c r="Y53" s="1"/>
      <c r="Z53" s="1"/>
    </row>
    <row r="54" spans="2:23" ht="12.75">
      <c r="B54" s="21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1"/>
      <c r="O54" s="27"/>
      <c r="P54" s="21"/>
      <c r="Q54" s="21"/>
      <c r="R54" s="21"/>
      <c r="S54" s="21"/>
      <c r="T54" s="21"/>
      <c r="U54" s="21"/>
      <c r="V54" s="21"/>
      <c r="W54" s="21"/>
    </row>
    <row r="55" spans="2:23" ht="12.75">
      <c r="B55" s="21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1"/>
      <c r="O55" s="27"/>
      <c r="P55" s="21"/>
      <c r="Q55" s="21"/>
      <c r="R55" s="21"/>
      <c r="S55" s="21"/>
      <c r="T55" s="21"/>
      <c r="U55" s="21"/>
      <c r="V55" s="21"/>
      <c r="W55" s="21"/>
    </row>
    <row r="56" spans="2:23" ht="12.75">
      <c r="B56" s="21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1"/>
      <c r="O56" s="27"/>
      <c r="P56" s="21"/>
      <c r="Q56" s="21"/>
      <c r="R56" s="21"/>
      <c r="S56" s="21"/>
      <c r="T56" s="21"/>
      <c r="U56" s="21"/>
      <c r="V56" s="21"/>
      <c r="W56" s="21"/>
    </row>
    <row r="57" spans="2:23" ht="12.75">
      <c r="B57" s="21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1"/>
      <c r="O57" s="27"/>
      <c r="P57" s="21"/>
      <c r="Q57" s="21"/>
      <c r="R57" s="21"/>
      <c r="S57" s="21"/>
      <c r="T57" s="21"/>
      <c r="U57" s="21"/>
      <c r="V57" s="21"/>
      <c r="W57" s="21"/>
    </row>
    <row r="58" spans="2:23" ht="12.75">
      <c r="B58" s="21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1"/>
      <c r="O58" s="27"/>
      <c r="P58" s="21"/>
      <c r="Q58" s="21"/>
      <c r="R58" s="21"/>
      <c r="S58" s="21"/>
      <c r="T58" s="21"/>
      <c r="U58" s="21"/>
      <c r="V58" s="21"/>
      <c r="W58" s="21"/>
    </row>
    <row r="59" spans="2:23" ht="12.75">
      <c r="B59" s="21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1"/>
      <c r="O59" s="27"/>
      <c r="P59" s="21"/>
      <c r="Q59" s="21"/>
      <c r="R59" s="21"/>
      <c r="S59" s="21"/>
      <c r="T59" s="21"/>
      <c r="U59" s="21"/>
      <c r="V59" s="21"/>
      <c r="W59" s="21"/>
    </row>
    <row r="60" spans="2:23" ht="12.75">
      <c r="B60" s="21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1"/>
      <c r="O60" s="27"/>
      <c r="P60" s="21"/>
      <c r="Q60" s="21"/>
      <c r="R60" s="21"/>
      <c r="S60" s="21"/>
      <c r="T60" s="21"/>
      <c r="U60" s="21"/>
      <c r="V60" s="21"/>
      <c r="W60" s="21"/>
    </row>
    <row r="61" spans="2:23" ht="12.75">
      <c r="B61" s="21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1"/>
      <c r="O61" s="27"/>
      <c r="P61" s="21"/>
      <c r="Q61" s="21"/>
      <c r="R61" s="21"/>
      <c r="S61" s="21"/>
      <c r="T61" s="21"/>
      <c r="U61" s="21"/>
      <c r="V61" s="21"/>
      <c r="W61" s="21"/>
    </row>
    <row r="62" spans="2:23" ht="12.75">
      <c r="B62" s="21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1"/>
      <c r="O62" s="27"/>
      <c r="P62" s="21"/>
      <c r="Q62" s="21"/>
      <c r="R62" s="21"/>
      <c r="S62" s="21"/>
      <c r="T62" s="21"/>
      <c r="U62" s="21"/>
      <c r="V62" s="21"/>
      <c r="W62" s="21"/>
    </row>
    <row r="63" spans="2:23" ht="12.75">
      <c r="B63" s="21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1"/>
      <c r="O63" s="27"/>
      <c r="P63" s="21"/>
      <c r="Q63" s="21"/>
      <c r="R63" s="21"/>
      <c r="S63" s="21"/>
      <c r="T63" s="21"/>
      <c r="U63" s="21"/>
      <c r="V63" s="21"/>
      <c r="W63" s="21"/>
    </row>
    <row r="64" spans="2:23" ht="12.75">
      <c r="B64" s="21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1"/>
      <c r="O64" s="27"/>
      <c r="P64" s="21"/>
      <c r="Q64" s="21"/>
      <c r="R64" s="21"/>
      <c r="S64" s="21"/>
      <c r="T64" s="21"/>
      <c r="U64" s="21"/>
      <c r="V64" s="21"/>
      <c r="W64" s="21"/>
    </row>
    <row r="65" spans="2:23" ht="12.75">
      <c r="B65" s="21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1"/>
      <c r="O65" s="27"/>
      <c r="P65" s="21"/>
      <c r="Q65" s="21"/>
      <c r="R65" s="21"/>
      <c r="S65" s="21"/>
      <c r="T65" s="21"/>
      <c r="U65" s="21"/>
      <c r="V65" s="21"/>
      <c r="W65" s="21"/>
    </row>
    <row r="66" spans="2:23" ht="12.75">
      <c r="B66" s="21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1"/>
      <c r="O66" s="27"/>
      <c r="P66" s="21"/>
      <c r="Q66" s="21"/>
      <c r="R66" s="21"/>
      <c r="S66" s="21"/>
      <c r="T66" s="21"/>
      <c r="U66" s="21"/>
      <c r="V66" s="21"/>
      <c r="W66" s="21"/>
    </row>
    <row r="67" spans="2:23" ht="12.75">
      <c r="B67" s="21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2:23" ht="12.75">
      <c r="B68" s="21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2:23" ht="13.5" thickBot="1">
      <c r="B69" s="21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2:24" ht="15" customHeight="1">
      <c r="B70" s="318" t="s">
        <v>281</v>
      </c>
      <c r="C70" s="319"/>
      <c r="D70" s="319"/>
      <c r="E70" s="319"/>
      <c r="F70" s="319"/>
      <c r="G70" s="319"/>
      <c r="H70" s="319"/>
      <c r="I70" s="319"/>
      <c r="J70" s="319"/>
      <c r="K70" s="319"/>
      <c r="L70" s="320"/>
      <c r="M70" s="21"/>
      <c r="N70" s="321" t="s">
        <v>282</v>
      </c>
      <c r="O70" s="322"/>
      <c r="P70" s="322"/>
      <c r="Q70" s="322"/>
      <c r="R70" s="322"/>
      <c r="S70" s="322"/>
      <c r="T70" s="322"/>
      <c r="U70" s="322"/>
      <c r="V70" s="323"/>
      <c r="W70" s="69"/>
      <c r="X70" s="5"/>
    </row>
    <row r="71" spans="2:23" ht="15" customHeight="1">
      <c r="B71" s="53" t="s">
        <v>58</v>
      </c>
      <c r="C71" s="54" t="s">
        <v>9</v>
      </c>
      <c r="D71" s="54" t="s">
        <v>10</v>
      </c>
      <c r="E71" s="54" t="s">
        <v>11</v>
      </c>
      <c r="F71" s="54" t="s">
        <v>134</v>
      </c>
      <c r="G71" s="53" t="s">
        <v>58</v>
      </c>
      <c r="H71" s="54" t="s">
        <v>9</v>
      </c>
      <c r="I71" s="54" t="s">
        <v>10</v>
      </c>
      <c r="J71" s="54" t="s">
        <v>10</v>
      </c>
      <c r="K71" s="54" t="s">
        <v>11</v>
      </c>
      <c r="L71" s="55" t="s">
        <v>129</v>
      </c>
      <c r="M71" s="21"/>
      <c r="N71" s="56" t="s">
        <v>60</v>
      </c>
      <c r="O71" s="57" t="s">
        <v>9</v>
      </c>
      <c r="P71" s="57" t="s">
        <v>10</v>
      </c>
      <c r="Q71" s="57" t="s">
        <v>11</v>
      </c>
      <c r="R71" s="57" t="s">
        <v>129</v>
      </c>
      <c r="S71" s="57" t="s">
        <v>60</v>
      </c>
      <c r="T71" s="57" t="s">
        <v>9</v>
      </c>
      <c r="U71" s="57" t="s">
        <v>10</v>
      </c>
      <c r="V71" s="57" t="s">
        <v>11</v>
      </c>
      <c r="W71" s="70" t="s">
        <v>129</v>
      </c>
    </row>
    <row r="72" spans="2:23" ht="15" customHeight="1">
      <c r="B72" s="53">
        <v>1</v>
      </c>
      <c r="C72" s="54" t="s">
        <v>14</v>
      </c>
      <c r="D72" s="54"/>
      <c r="E72" s="54">
        <v>2</v>
      </c>
      <c r="F72" s="54">
        <v>3263</v>
      </c>
      <c r="G72" s="54">
        <v>42</v>
      </c>
      <c r="H72" s="54" t="s">
        <v>63</v>
      </c>
      <c r="I72" s="54"/>
      <c r="J72" s="54"/>
      <c r="K72" s="54"/>
      <c r="L72" s="55"/>
      <c r="M72" s="22"/>
      <c r="N72" s="56">
        <v>1</v>
      </c>
      <c r="O72" s="57" t="s">
        <v>175</v>
      </c>
      <c r="P72" s="54"/>
      <c r="Q72" s="54"/>
      <c r="R72" s="57">
        <v>2</v>
      </c>
      <c r="S72" s="57">
        <v>41</v>
      </c>
      <c r="T72" s="57" t="s">
        <v>186</v>
      </c>
      <c r="U72" s="54"/>
      <c r="V72" s="54"/>
      <c r="W72" s="54">
        <v>1</v>
      </c>
    </row>
    <row r="73" spans="2:23" ht="15" customHeight="1">
      <c r="B73" s="53">
        <v>2</v>
      </c>
      <c r="C73" s="54" t="s">
        <v>15</v>
      </c>
      <c r="D73" s="54"/>
      <c r="E73" s="54"/>
      <c r="F73" s="54">
        <v>240</v>
      </c>
      <c r="G73" s="54">
        <v>43</v>
      </c>
      <c r="H73" s="54" t="s">
        <v>64</v>
      </c>
      <c r="I73" s="54"/>
      <c r="J73" s="54"/>
      <c r="K73" s="54"/>
      <c r="L73" s="55"/>
      <c r="M73" s="22"/>
      <c r="N73" s="56">
        <v>2</v>
      </c>
      <c r="O73" s="71" t="s">
        <v>153</v>
      </c>
      <c r="P73" s="54"/>
      <c r="Q73" s="54"/>
      <c r="R73" s="72">
        <v>2</v>
      </c>
      <c r="S73" s="57">
        <v>42</v>
      </c>
      <c r="T73" s="71" t="s">
        <v>170</v>
      </c>
      <c r="U73" s="54"/>
      <c r="V73" s="54"/>
      <c r="W73" s="54"/>
    </row>
    <row r="74" spans="2:23" ht="15" customHeight="1">
      <c r="B74" s="53">
        <v>3</v>
      </c>
      <c r="C74" s="54" t="s">
        <v>16</v>
      </c>
      <c r="D74" s="54"/>
      <c r="E74" s="54"/>
      <c r="F74" s="54">
        <v>249</v>
      </c>
      <c r="G74" s="54">
        <v>44</v>
      </c>
      <c r="H74" s="54" t="s">
        <v>65</v>
      </c>
      <c r="I74" s="54"/>
      <c r="J74" s="54"/>
      <c r="K74" s="54"/>
      <c r="L74" s="55"/>
      <c r="M74" s="22"/>
      <c r="N74" s="56">
        <v>3</v>
      </c>
      <c r="O74" s="57" t="s">
        <v>297</v>
      </c>
      <c r="P74" s="54"/>
      <c r="Q74" s="54"/>
      <c r="R74" s="57">
        <v>2</v>
      </c>
      <c r="S74" s="57">
        <v>43</v>
      </c>
      <c r="T74" s="57" t="s">
        <v>146</v>
      </c>
      <c r="U74" s="54"/>
      <c r="V74" s="54"/>
      <c r="W74" s="54">
        <v>16</v>
      </c>
    </row>
    <row r="75" spans="2:23" ht="15" customHeight="1">
      <c r="B75" s="53">
        <v>4</v>
      </c>
      <c r="C75" s="54" t="s">
        <v>17</v>
      </c>
      <c r="D75" s="54"/>
      <c r="E75" s="54"/>
      <c r="F75" s="54">
        <v>42</v>
      </c>
      <c r="G75" s="54">
        <v>45</v>
      </c>
      <c r="H75" s="54" t="s">
        <v>66</v>
      </c>
      <c r="I75" s="54"/>
      <c r="J75" s="54"/>
      <c r="K75" s="54"/>
      <c r="L75" s="55"/>
      <c r="M75" s="22"/>
      <c r="N75" s="56">
        <v>4</v>
      </c>
      <c r="O75" s="71" t="s">
        <v>154</v>
      </c>
      <c r="P75" s="54"/>
      <c r="Q75" s="54"/>
      <c r="R75" s="57">
        <v>3</v>
      </c>
      <c r="S75" s="57">
        <v>44</v>
      </c>
      <c r="T75" s="57" t="s">
        <v>187</v>
      </c>
      <c r="U75" s="54"/>
      <c r="V75" s="34"/>
      <c r="W75" s="54"/>
    </row>
    <row r="76" spans="2:23" ht="15" customHeight="1">
      <c r="B76" s="53">
        <v>5</v>
      </c>
      <c r="C76" s="54" t="s">
        <v>18</v>
      </c>
      <c r="D76" s="71"/>
      <c r="E76" s="54"/>
      <c r="F76" s="54">
        <v>5</v>
      </c>
      <c r="G76" s="54">
        <v>46</v>
      </c>
      <c r="H76" s="54" t="s">
        <v>67</v>
      </c>
      <c r="I76" s="54"/>
      <c r="J76" s="54"/>
      <c r="K76" s="54"/>
      <c r="L76" s="55"/>
      <c r="M76" s="22"/>
      <c r="N76" s="56">
        <v>5</v>
      </c>
      <c r="O76" s="57" t="s">
        <v>176</v>
      </c>
      <c r="P76" s="54"/>
      <c r="Q76" s="54"/>
      <c r="R76" s="57"/>
      <c r="S76" s="57">
        <v>45</v>
      </c>
      <c r="T76" s="54" t="s">
        <v>143</v>
      </c>
      <c r="U76" s="54">
        <v>32</v>
      </c>
      <c r="V76" s="54">
        <v>33</v>
      </c>
      <c r="W76" s="55">
        <v>13</v>
      </c>
    </row>
    <row r="77" spans="2:23" ht="15" customHeight="1">
      <c r="B77" s="53">
        <v>6</v>
      </c>
      <c r="C77" s="54" t="s">
        <v>19</v>
      </c>
      <c r="D77" s="54">
        <v>2</v>
      </c>
      <c r="E77" s="54"/>
      <c r="F77" s="54">
        <v>1320</v>
      </c>
      <c r="G77" s="54">
        <v>47</v>
      </c>
      <c r="H77" s="54" t="s">
        <v>68</v>
      </c>
      <c r="I77" s="54"/>
      <c r="J77" s="54"/>
      <c r="K77" s="54"/>
      <c r="L77" s="55"/>
      <c r="M77" s="22"/>
      <c r="N77" s="56">
        <v>6</v>
      </c>
      <c r="O77" s="57" t="s">
        <v>177</v>
      </c>
      <c r="P77" s="54"/>
      <c r="Q77" s="54"/>
      <c r="R77" s="57">
        <v>8</v>
      </c>
      <c r="S77" s="57">
        <v>46</v>
      </c>
      <c r="T77" s="54" t="s">
        <v>171</v>
      </c>
      <c r="U77" s="54"/>
      <c r="V77" s="54"/>
      <c r="W77" s="55">
        <v>2</v>
      </c>
    </row>
    <row r="78" spans="2:23" ht="15" customHeight="1">
      <c r="B78" s="53">
        <v>7</v>
      </c>
      <c r="C78" s="54" t="s">
        <v>20</v>
      </c>
      <c r="D78" s="54">
        <v>1</v>
      </c>
      <c r="E78" s="54"/>
      <c r="F78" s="54">
        <v>132</v>
      </c>
      <c r="G78" s="54">
        <v>48</v>
      </c>
      <c r="H78" s="54" t="s">
        <v>69</v>
      </c>
      <c r="I78" s="54"/>
      <c r="J78" s="54"/>
      <c r="K78" s="34"/>
      <c r="L78" s="55"/>
      <c r="M78" s="22"/>
      <c r="N78" s="56">
        <v>7</v>
      </c>
      <c r="O78" s="54" t="s">
        <v>138</v>
      </c>
      <c r="P78" s="54"/>
      <c r="Q78" s="54"/>
      <c r="R78" s="57"/>
      <c r="S78" s="57">
        <v>47</v>
      </c>
      <c r="T78" s="54" t="s">
        <v>172</v>
      </c>
      <c r="U78" s="54"/>
      <c r="V78" s="54"/>
      <c r="W78" s="55"/>
    </row>
    <row r="79" spans="2:23" ht="15" customHeight="1">
      <c r="B79" s="53">
        <v>8</v>
      </c>
      <c r="C79" s="54" t="s">
        <v>21</v>
      </c>
      <c r="D79" s="54">
        <v>4</v>
      </c>
      <c r="E79" s="54">
        <v>1</v>
      </c>
      <c r="F79" s="54">
        <v>454</v>
      </c>
      <c r="G79" s="54">
        <v>49</v>
      </c>
      <c r="H79" s="54" t="s">
        <v>47</v>
      </c>
      <c r="I79" s="54"/>
      <c r="J79" s="54">
        <v>1</v>
      </c>
      <c r="K79" s="54">
        <v>1</v>
      </c>
      <c r="L79" s="55"/>
      <c r="M79" s="22"/>
      <c r="N79" s="56">
        <v>8</v>
      </c>
      <c r="O79" s="57" t="s">
        <v>147</v>
      </c>
      <c r="P79" s="54"/>
      <c r="Q79" s="54"/>
      <c r="R79" s="57">
        <v>2</v>
      </c>
      <c r="S79" s="57">
        <v>48</v>
      </c>
      <c r="T79" s="57" t="s">
        <v>210</v>
      </c>
      <c r="U79" s="54"/>
      <c r="V79" s="54"/>
      <c r="W79" s="55"/>
    </row>
    <row r="80" spans="2:23" ht="15" customHeight="1">
      <c r="B80" s="53">
        <v>9</v>
      </c>
      <c r="C80" s="54" t="s">
        <v>22</v>
      </c>
      <c r="D80" s="54"/>
      <c r="E80" s="54"/>
      <c r="F80" s="54">
        <v>15</v>
      </c>
      <c r="G80" s="54">
        <v>50</v>
      </c>
      <c r="H80" s="54" t="s">
        <v>48</v>
      </c>
      <c r="I80" s="54"/>
      <c r="J80" s="54"/>
      <c r="K80" s="54"/>
      <c r="L80" s="55"/>
      <c r="M80" s="22"/>
      <c r="N80" s="56">
        <v>9</v>
      </c>
      <c r="O80" s="54" t="s">
        <v>197</v>
      </c>
      <c r="P80" s="54"/>
      <c r="Q80" s="54"/>
      <c r="R80" s="57"/>
      <c r="S80" s="57">
        <v>49</v>
      </c>
      <c r="T80" s="57" t="s">
        <v>175</v>
      </c>
      <c r="U80" s="54"/>
      <c r="V80" s="54"/>
      <c r="W80" s="55"/>
    </row>
    <row r="81" spans="2:23" ht="15" customHeight="1">
      <c r="B81" s="53">
        <v>10</v>
      </c>
      <c r="C81" s="54" t="s">
        <v>23</v>
      </c>
      <c r="D81" s="54">
        <v>1</v>
      </c>
      <c r="E81" s="54">
        <v>4</v>
      </c>
      <c r="F81" s="54">
        <v>1142</v>
      </c>
      <c r="G81" s="54">
        <v>51</v>
      </c>
      <c r="H81" s="54" t="s">
        <v>49</v>
      </c>
      <c r="I81" s="54"/>
      <c r="J81" s="54"/>
      <c r="K81" s="54"/>
      <c r="L81" s="55">
        <v>9</v>
      </c>
      <c r="M81" s="22"/>
      <c r="N81" s="56">
        <v>10</v>
      </c>
      <c r="O81" s="54" t="s">
        <v>155</v>
      </c>
      <c r="P81" s="54"/>
      <c r="Q81" s="54">
        <v>1</v>
      </c>
      <c r="R81" s="57">
        <v>19</v>
      </c>
      <c r="S81" s="57">
        <v>50</v>
      </c>
      <c r="T81" s="57" t="s">
        <v>160</v>
      </c>
      <c r="U81" s="54">
        <v>1</v>
      </c>
      <c r="V81" s="54"/>
      <c r="W81" s="55"/>
    </row>
    <row r="82" spans="2:23" ht="15" customHeight="1">
      <c r="B82" s="53">
        <v>11</v>
      </c>
      <c r="C82" s="54" t="s">
        <v>24</v>
      </c>
      <c r="D82" s="54"/>
      <c r="E82" s="54"/>
      <c r="F82" s="54">
        <v>319</v>
      </c>
      <c r="G82" s="54">
        <v>52</v>
      </c>
      <c r="H82" s="54" t="s">
        <v>70</v>
      </c>
      <c r="I82" s="54"/>
      <c r="J82" s="54"/>
      <c r="K82" s="54"/>
      <c r="L82" s="55"/>
      <c r="M82" s="22"/>
      <c r="N82" s="56">
        <v>11</v>
      </c>
      <c r="O82" s="54" t="s">
        <v>139</v>
      </c>
      <c r="P82" s="54">
        <v>4</v>
      </c>
      <c r="Q82" s="54">
        <v>4</v>
      </c>
      <c r="R82" s="57"/>
      <c r="S82" s="57">
        <v>51</v>
      </c>
      <c r="T82" s="57" t="s">
        <v>145</v>
      </c>
      <c r="U82" s="26"/>
      <c r="V82" s="26"/>
      <c r="W82" s="73">
        <v>4</v>
      </c>
    </row>
    <row r="83" spans="2:23" ht="15" customHeight="1">
      <c r="B83" s="53">
        <v>12</v>
      </c>
      <c r="C83" s="54" t="s">
        <v>25</v>
      </c>
      <c r="D83" s="54"/>
      <c r="E83" s="54"/>
      <c r="F83" s="54">
        <v>20</v>
      </c>
      <c r="G83" s="97"/>
      <c r="H83" s="54"/>
      <c r="I83" s="54"/>
      <c r="J83" s="54"/>
      <c r="K83" s="54"/>
      <c r="L83" s="55"/>
      <c r="M83" s="22"/>
      <c r="N83" s="56">
        <v>12</v>
      </c>
      <c r="O83" s="54" t="s">
        <v>178</v>
      </c>
      <c r="P83" s="54"/>
      <c r="Q83" s="54"/>
      <c r="R83" s="57">
        <v>2</v>
      </c>
      <c r="S83" s="57">
        <v>52</v>
      </c>
      <c r="T83" s="57" t="s">
        <v>225</v>
      </c>
      <c r="U83" s="26"/>
      <c r="V83" s="26"/>
      <c r="W83" s="73"/>
    </row>
    <row r="84" spans="2:23" ht="15" customHeight="1">
      <c r="B84" s="53">
        <v>13</v>
      </c>
      <c r="C84" s="54" t="s">
        <v>26</v>
      </c>
      <c r="D84" s="54">
        <v>5</v>
      </c>
      <c r="E84" s="54">
        <v>4</v>
      </c>
      <c r="F84" s="54">
        <v>5665</v>
      </c>
      <c r="G84" s="97"/>
      <c r="H84" s="54"/>
      <c r="I84" s="54"/>
      <c r="J84" s="54"/>
      <c r="K84" s="54"/>
      <c r="L84" s="55"/>
      <c r="M84" s="22"/>
      <c r="N84" s="56">
        <v>13</v>
      </c>
      <c r="O84" s="54" t="s">
        <v>140</v>
      </c>
      <c r="P84" s="54"/>
      <c r="Q84" s="54"/>
      <c r="R84" s="54">
        <v>80</v>
      </c>
      <c r="S84" s="57">
        <v>53</v>
      </c>
      <c r="T84" s="57" t="s">
        <v>226</v>
      </c>
      <c r="U84" s="54"/>
      <c r="V84" s="54"/>
      <c r="W84" s="55"/>
    </row>
    <row r="85" spans="2:23" ht="15" customHeight="1">
      <c r="B85" s="53">
        <v>14</v>
      </c>
      <c r="C85" s="54" t="s">
        <v>71</v>
      </c>
      <c r="D85" s="54"/>
      <c r="E85" s="54"/>
      <c r="F85" s="54">
        <v>9</v>
      </c>
      <c r="G85" s="54">
        <v>53</v>
      </c>
      <c r="H85" s="54" t="s">
        <v>72</v>
      </c>
      <c r="I85" s="54"/>
      <c r="J85" s="54"/>
      <c r="K85" s="54"/>
      <c r="L85" s="55"/>
      <c r="M85" s="22"/>
      <c r="N85" s="56">
        <v>14</v>
      </c>
      <c r="O85" s="54" t="s">
        <v>179</v>
      </c>
      <c r="P85" s="54"/>
      <c r="Q85" s="54"/>
      <c r="R85" s="54">
        <v>3</v>
      </c>
      <c r="S85" s="57">
        <v>54</v>
      </c>
      <c r="T85" s="57" t="s">
        <v>205</v>
      </c>
      <c r="U85" s="54"/>
      <c r="V85" s="54"/>
      <c r="W85" s="55"/>
    </row>
    <row r="86" spans="2:23" ht="15" customHeight="1">
      <c r="B86" s="53">
        <v>15</v>
      </c>
      <c r="C86" s="54" t="s">
        <v>27</v>
      </c>
      <c r="D86" s="54"/>
      <c r="E86" s="54"/>
      <c r="F86" s="54">
        <v>8</v>
      </c>
      <c r="G86" s="54">
        <v>54</v>
      </c>
      <c r="H86" s="54" t="s">
        <v>74</v>
      </c>
      <c r="I86" s="54"/>
      <c r="J86" s="54"/>
      <c r="K86" s="54"/>
      <c r="L86" s="55">
        <v>19</v>
      </c>
      <c r="M86" s="22"/>
      <c r="N86" s="56">
        <v>15</v>
      </c>
      <c r="O86" s="54" t="s">
        <v>198</v>
      </c>
      <c r="P86" s="54"/>
      <c r="Q86" s="54"/>
      <c r="R86" s="54"/>
      <c r="S86" s="57">
        <v>55</v>
      </c>
      <c r="T86" s="57" t="s">
        <v>236</v>
      </c>
      <c r="U86" s="54"/>
      <c r="V86" s="54"/>
      <c r="W86" s="55"/>
    </row>
    <row r="87" spans="2:23" ht="15" customHeight="1">
      <c r="B87" s="53">
        <v>16</v>
      </c>
      <c r="C87" s="54" t="s">
        <v>28</v>
      </c>
      <c r="D87" s="54"/>
      <c r="E87" s="54"/>
      <c r="F87" s="54">
        <v>26</v>
      </c>
      <c r="G87" s="54">
        <v>55</v>
      </c>
      <c r="H87" s="54" t="s">
        <v>50</v>
      </c>
      <c r="I87" s="54"/>
      <c r="J87" s="54">
        <v>10</v>
      </c>
      <c r="K87" s="54">
        <v>11</v>
      </c>
      <c r="L87" s="55">
        <v>3</v>
      </c>
      <c r="M87" s="22"/>
      <c r="N87" s="56">
        <v>16</v>
      </c>
      <c r="O87" s="54" t="s">
        <v>202</v>
      </c>
      <c r="P87" s="54"/>
      <c r="Q87" s="54">
        <v>1</v>
      </c>
      <c r="R87" s="54"/>
      <c r="S87" s="57">
        <v>56</v>
      </c>
      <c r="T87" s="57" t="s">
        <v>237</v>
      </c>
      <c r="U87" s="54"/>
      <c r="V87" s="54"/>
      <c r="W87" s="55"/>
    </row>
    <row r="88" spans="2:23" ht="15" customHeight="1">
      <c r="B88" s="53">
        <v>17</v>
      </c>
      <c r="C88" s="54" t="s">
        <v>29</v>
      </c>
      <c r="D88" s="54"/>
      <c r="E88" s="54"/>
      <c r="F88" s="54">
        <v>91</v>
      </c>
      <c r="G88" s="54">
        <v>56</v>
      </c>
      <c r="H88" s="54" t="s">
        <v>76</v>
      </c>
      <c r="I88" s="54"/>
      <c r="J88" s="54">
        <v>1</v>
      </c>
      <c r="K88" s="54"/>
      <c r="L88" s="55">
        <v>2</v>
      </c>
      <c r="M88" s="22"/>
      <c r="N88" s="56">
        <v>17</v>
      </c>
      <c r="O88" s="54" t="s">
        <v>180</v>
      </c>
      <c r="P88" s="54"/>
      <c r="Q88" s="54"/>
      <c r="R88" s="54">
        <v>2</v>
      </c>
      <c r="S88" s="57">
        <v>57</v>
      </c>
      <c r="T88" s="57" t="s">
        <v>162</v>
      </c>
      <c r="U88" s="54"/>
      <c r="V88" s="54"/>
      <c r="W88" s="55"/>
    </row>
    <row r="89" spans="2:23" ht="15" customHeight="1">
      <c r="B89" s="53">
        <v>18</v>
      </c>
      <c r="C89" s="54" t="s">
        <v>30</v>
      </c>
      <c r="D89" s="54">
        <v>1</v>
      </c>
      <c r="E89" s="34"/>
      <c r="F89" s="54">
        <v>3</v>
      </c>
      <c r="G89" s="54">
        <v>57</v>
      </c>
      <c r="H89" s="54" t="s">
        <v>51</v>
      </c>
      <c r="I89" s="54"/>
      <c r="J89" s="54"/>
      <c r="K89" s="54"/>
      <c r="L89" s="55"/>
      <c r="M89" s="22"/>
      <c r="N89" s="56">
        <v>18</v>
      </c>
      <c r="O89" s="54" t="s">
        <v>157</v>
      </c>
      <c r="P89" s="54"/>
      <c r="Q89" s="54"/>
      <c r="R89" s="54"/>
      <c r="S89" s="57">
        <v>58</v>
      </c>
      <c r="T89" s="57" t="s">
        <v>165</v>
      </c>
      <c r="U89" s="54"/>
      <c r="V89" s="54"/>
      <c r="W89" s="55"/>
    </row>
    <row r="90" spans="2:23" ht="15" customHeight="1">
      <c r="B90" s="53">
        <v>19</v>
      </c>
      <c r="C90" s="54" t="s">
        <v>31</v>
      </c>
      <c r="D90" s="54">
        <v>9</v>
      </c>
      <c r="E90" s="34">
        <v>6</v>
      </c>
      <c r="F90" s="54">
        <v>3265</v>
      </c>
      <c r="G90" s="54">
        <v>58</v>
      </c>
      <c r="H90" s="54" t="s">
        <v>77</v>
      </c>
      <c r="I90" s="54"/>
      <c r="J90" s="54"/>
      <c r="K90" s="54"/>
      <c r="L90" s="55">
        <v>9</v>
      </c>
      <c r="M90" s="22"/>
      <c r="N90" s="56">
        <v>20</v>
      </c>
      <c r="O90" s="54" t="s">
        <v>225</v>
      </c>
      <c r="P90" s="54"/>
      <c r="Q90" s="54"/>
      <c r="R90" s="54"/>
      <c r="S90" s="57">
        <v>59</v>
      </c>
      <c r="T90" s="57" t="s">
        <v>214</v>
      </c>
      <c r="U90" s="54"/>
      <c r="V90" s="54"/>
      <c r="W90" s="55"/>
    </row>
    <row r="91" spans="2:23" ht="15" customHeight="1">
      <c r="B91" s="53">
        <v>20</v>
      </c>
      <c r="C91" s="54" t="s">
        <v>32</v>
      </c>
      <c r="D91" s="54"/>
      <c r="E91" s="34"/>
      <c r="F91" s="54">
        <v>216</v>
      </c>
      <c r="G91" s="54">
        <v>59</v>
      </c>
      <c r="H91" s="54" t="s">
        <v>75</v>
      </c>
      <c r="I91" s="54"/>
      <c r="J91" s="54"/>
      <c r="K91" s="54"/>
      <c r="L91" s="55">
        <v>12</v>
      </c>
      <c r="M91" s="22"/>
      <c r="N91" s="56">
        <v>21</v>
      </c>
      <c r="O91" s="54" t="s">
        <v>200</v>
      </c>
      <c r="P91" s="54"/>
      <c r="Q91" s="54"/>
      <c r="R91" s="54"/>
      <c r="S91" s="57">
        <v>60</v>
      </c>
      <c r="T91" s="57" t="s">
        <v>195</v>
      </c>
      <c r="U91" s="54"/>
      <c r="V91" s="54"/>
      <c r="W91" s="55"/>
    </row>
    <row r="92" spans="2:23" ht="15" customHeight="1">
      <c r="B92" s="53">
        <v>21</v>
      </c>
      <c r="C92" s="54" t="s">
        <v>33</v>
      </c>
      <c r="D92" s="54"/>
      <c r="E92" s="91"/>
      <c r="F92" s="54">
        <v>31</v>
      </c>
      <c r="G92" s="54">
        <v>60</v>
      </c>
      <c r="H92" s="54" t="s">
        <v>53</v>
      </c>
      <c r="I92" s="54"/>
      <c r="J92" s="54"/>
      <c r="K92" s="54"/>
      <c r="L92" s="55"/>
      <c r="M92" s="22"/>
      <c r="N92" s="56">
        <v>22</v>
      </c>
      <c r="O92" s="54" t="s">
        <v>210</v>
      </c>
      <c r="P92" s="54"/>
      <c r="Q92" s="54"/>
      <c r="R92" s="54">
        <v>1</v>
      </c>
      <c r="S92" s="57">
        <v>61</v>
      </c>
      <c r="T92" s="57" t="s">
        <v>245</v>
      </c>
      <c r="U92" s="54"/>
      <c r="V92" s="54"/>
      <c r="W92" s="55"/>
    </row>
    <row r="93" spans="2:23" ht="15" customHeight="1">
      <c r="B93" s="53">
        <v>22</v>
      </c>
      <c r="C93" s="54" t="s">
        <v>34</v>
      </c>
      <c r="D93" s="54"/>
      <c r="E93" s="34"/>
      <c r="F93" s="54">
        <v>612</v>
      </c>
      <c r="G93" s="54">
        <v>61</v>
      </c>
      <c r="H93" s="54" t="s">
        <v>78</v>
      </c>
      <c r="I93" s="54"/>
      <c r="J93" s="54"/>
      <c r="K93" s="54"/>
      <c r="L93" s="55">
        <v>11</v>
      </c>
      <c r="M93" s="22"/>
      <c r="N93" s="56">
        <v>23</v>
      </c>
      <c r="O93" s="54" t="s">
        <v>213</v>
      </c>
      <c r="P93" s="54"/>
      <c r="Q93" s="54"/>
      <c r="R93" s="54">
        <v>2</v>
      </c>
      <c r="S93" s="57">
        <v>62</v>
      </c>
      <c r="T93" s="57" t="s">
        <v>246</v>
      </c>
      <c r="U93" s="54"/>
      <c r="V93" s="54"/>
      <c r="W93" s="55"/>
    </row>
    <row r="94" spans="2:23" ht="15" customHeight="1">
      <c r="B94" s="53">
        <v>23</v>
      </c>
      <c r="C94" s="54" t="s">
        <v>79</v>
      </c>
      <c r="D94" s="54"/>
      <c r="E94" s="34"/>
      <c r="F94" s="54">
        <v>7</v>
      </c>
      <c r="G94" s="54">
        <v>62</v>
      </c>
      <c r="H94" s="97"/>
      <c r="I94" s="97"/>
      <c r="J94" s="97"/>
      <c r="K94" s="54"/>
      <c r="L94" s="55"/>
      <c r="M94" s="22"/>
      <c r="N94" s="56">
        <v>24</v>
      </c>
      <c r="O94" s="54" t="s">
        <v>199</v>
      </c>
      <c r="P94" s="54"/>
      <c r="Q94" s="54"/>
      <c r="R94" s="54"/>
      <c r="S94" s="57">
        <v>63</v>
      </c>
      <c r="T94" s="57" t="s">
        <v>209</v>
      </c>
      <c r="U94" s="54"/>
      <c r="V94" s="54"/>
      <c r="W94" s="55"/>
    </row>
    <row r="95" spans="2:23" ht="15" customHeight="1">
      <c r="B95" s="53">
        <v>24</v>
      </c>
      <c r="C95" s="54" t="s">
        <v>95</v>
      </c>
      <c r="D95" s="54">
        <v>2</v>
      </c>
      <c r="E95" s="34">
        <v>1</v>
      </c>
      <c r="F95" s="54">
        <v>2</v>
      </c>
      <c r="G95" s="54"/>
      <c r="H95" s="54"/>
      <c r="I95" s="54"/>
      <c r="J95" s="54"/>
      <c r="K95" s="54"/>
      <c r="L95" s="55"/>
      <c r="M95" s="22"/>
      <c r="N95" s="56">
        <v>25</v>
      </c>
      <c r="O95" s="54" t="s">
        <v>159</v>
      </c>
      <c r="P95" s="54"/>
      <c r="Q95" s="54"/>
      <c r="R95" s="54">
        <v>1</v>
      </c>
      <c r="S95" s="57">
        <v>64</v>
      </c>
      <c r="T95" s="57" t="s">
        <v>182</v>
      </c>
      <c r="U95" s="54"/>
      <c r="V95" s="54"/>
      <c r="W95" s="55">
        <v>1</v>
      </c>
    </row>
    <row r="96" spans="2:23" ht="15" customHeight="1">
      <c r="B96" s="53">
        <v>25</v>
      </c>
      <c r="C96" s="54" t="s">
        <v>81</v>
      </c>
      <c r="D96" s="54"/>
      <c r="E96" s="34"/>
      <c r="F96" s="54"/>
      <c r="G96" s="97"/>
      <c r="H96" s="54"/>
      <c r="I96" s="54"/>
      <c r="J96" s="54"/>
      <c r="K96" s="54"/>
      <c r="L96" s="55"/>
      <c r="M96" s="22"/>
      <c r="N96" s="56">
        <v>26</v>
      </c>
      <c r="O96" s="54" t="s">
        <v>161</v>
      </c>
      <c r="P96" s="54"/>
      <c r="Q96" s="54"/>
      <c r="R96" s="54">
        <v>5</v>
      </c>
      <c r="S96" s="57">
        <v>65</v>
      </c>
      <c r="T96" s="57" t="s">
        <v>183</v>
      </c>
      <c r="U96" s="54"/>
      <c r="V96" s="54"/>
      <c r="W96" s="55">
        <v>2</v>
      </c>
    </row>
    <row r="97" spans="2:23" ht="15" customHeight="1">
      <c r="B97" s="53">
        <v>26</v>
      </c>
      <c r="C97" s="54" t="s">
        <v>35</v>
      </c>
      <c r="D97" s="54"/>
      <c r="E97" s="54">
        <v>1</v>
      </c>
      <c r="F97" s="54">
        <v>5</v>
      </c>
      <c r="G97" s="97"/>
      <c r="H97" s="54"/>
      <c r="I97" s="54"/>
      <c r="J97" s="54"/>
      <c r="K97" s="54"/>
      <c r="L97" s="55"/>
      <c r="M97" s="22"/>
      <c r="N97" s="56">
        <v>27</v>
      </c>
      <c r="O97" s="54" t="s">
        <v>141</v>
      </c>
      <c r="P97" s="54">
        <v>1</v>
      </c>
      <c r="Q97" s="54"/>
      <c r="R97" s="54">
        <v>6</v>
      </c>
      <c r="S97" s="57">
        <v>66</v>
      </c>
      <c r="T97" s="57" t="s">
        <v>166</v>
      </c>
      <c r="U97" s="54"/>
      <c r="V97" s="54"/>
      <c r="W97" s="55">
        <v>2</v>
      </c>
    </row>
    <row r="98" spans="2:23" ht="15" customHeight="1">
      <c r="B98" s="53">
        <v>27</v>
      </c>
      <c r="C98" s="54" t="s">
        <v>36</v>
      </c>
      <c r="D98" s="54"/>
      <c r="E98" s="54"/>
      <c r="F98" s="54">
        <v>13</v>
      </c>
      <c r="G98" s="54">
        <v>63</v>
      </c>
      <c r="H98" s="54" t="s">
        <v>82</v>
      </c>
      <c r="I98" s="54"/>
      <c r="J98" s="54"/>
      <c r="K98" s="54"/>
      <c r="L98" s="55">
        <v>63</v>
      </c>
      <c r="M98" s="22"/>
      <c r="N98" s="56">
        <v>28</v>
      </c>
      <c r="O98" s="54" t="s">
        <v>164</v>
      </c>
      <c r="P98" s="54"/>
      <c r="Q98" s="54"/>
      <c r="R98" s="54">
        <v>1</v>
      </c>
      <c r="S98" s="57">
        <v>67</v>
      </c>
      <c r="T98" s="57"/>
      <c r="U98" s="54"/>
      <c r="V98" s="54"/>
      <c r="W98" s="55"/>
    </row>
    <row r="99" spans="2:23" ht="15" customHeight="1">
      <c r="B99" s="53">
        <v>28</v>
      </c>
      <c r="C99" s="54" t="s">
        <v>37</v>
      </c>
      <c r="D99" s="54"/>
      <c r="E99" s="54"/>
      <c r="F99" s="54">
        <v>28</v>
      </c>
      <c r="G99" s="54">
        <v>64</v>
      </c>
      <c r="H99" s="54" t="s">
        <v>83</v>
      </c>
      <c r="I99" s="54"/>
      <c r="J99" s="54"/>
      <c r="K99" s="34"/>
      <c r="L99" s="55">
        <v>92</v>
      </c>
      <c r="M99" s="22"/>
      <c r="N99" s="56">
        <v>29</v>
      </c>
      <c r="O99" s="54" t="s">
        <v>163</v>
      </c>
      <c r="P99" s="54"/>
      <c r="Q99" s="54"/>
      <c r="R99" s="54">
        <v>4</v>
      </c>
      <c r="S99" s="57">
        <v>68</v>
      </c>
      <c r="T99" s="57"/>
      <c r="U99" s="54"/>
      <c r="V99" s="54"/>
      <c r="W99" s="55"/>
    </row>
    <row r="100" spans="2:23" ht="15" customHeight="1">
      <c r="B100" s="53">
        <v>29</v>
      </c>
      <c r="C100" s="54" t="s">
        <v>38</v>
      </c>
      <c r="D100" s="54">
        <v>2</v>
      </c>
      <c r="E100" s="54">
        <v>4</v>
      </c>
      <c r="F100" s="54">
        <v>39</v>
      </c>
      <c r="G100" s="54">
        <v>65</v>
      </c>
      <c r="H100" s="54" t="s">
        <v>84</v>
      </c>
      <c r="I100" s="54"/>
      <c r="J100" s="54"/>
      <c r="K100" s="54"/>
      <c r="L100" s="55">
        <v>118</v>
      </c>
      <c r="M100" s="22"/>
      <c r="N100" s="56">
        <v>30</v>
      </c>
      <c r="O100" s="54" t="s">
        <v>181</v>
      </c>
      <c r="P100" s="54"/>
      <c r="Q100" s="54"/>
      <c r="R100" s="54"/>
      <c r="S100" s="57">
        <v>69</v>
      </c>
      <c r="T100" s="57"/>
      <c r="U100" s="54"/>
      <c r="V100" s="54"/>
      <c r="W100" s="55"/>
    </row>
    <row r="101" spans="2:23" ht="15" customHeight="1">
      <c r="B101" s="53">
        <v>30</v>
      </c>
      <c r="C101" s="54" t="s">
        <v>39</v>
      </c>
      <c r="D101" s="54">
        <v>3</v>
      </c>
      <c r="E101" s="54">
        <v>2</v>
      </c>
      <c r="F101" s="54">
        <v>36</v>
      </c>
      <c r="G101" s="54">
        <v>66</v>
      </c>
      <c r="H101" s="54" t="s">
        <v>85</v>
      </c>
      <c r="I101" s="54"/>
      <c r="J101" s="54">
        <v>1</v>
      </c>
      <c r="K101" s="54"/>
      <c r="L101" s="55">
        <v>1</v>
      </c>
      <c r="M101" s="22"/>
      <c r="N101" s="56">
        <v>31</v>
      </c>
      <c r="O101" s="54" t="s">
        <v>201</v>
      </c>
      <c r="P101" s="54"/>
      <c r="Q101" s="54"/>
      <c r="R101" s="54">
        <v>1</v>
      </c>
      <c r="S101" s="57">
        <v>70</v>
      </c>
      <c r="T101" s="57"/>
      <c r="U101" s="54"/>
      <c r="V101" s="54"/>
      <c r="W101" s="55"/>
    </row>
    <row r="102" spans="2:23" ht="15" customHeight="1">
      <c r="B102" s="53">
        <v>31</v>
      </c>
      <c r="C102" s="54" t="s">
        <v>86</v>
      </c>
      <c r="D102" s="54">
        <v>3</v>
      </c>
      <c r="E102" s="54">
        <v>1</v>
      </c>
      <c r="F102" s="54">
        <v>26</v>
      </c>
      <c r="G102" s="54">
        <v>67</v>
      </c>
      <c r="H102" s="54" t="s">
        <v>87</v>
      </c>
      <c r="I102" s="54"/>
      <c r="J102" s="34"/>
      <c r="K102" s="54">
        <v>1</v>
      </c>
      <c r="L102" s="55">
        <v>7</v>
      </c>
      <c r="M102" s="22"/>
      <c r="N102" s="56">
        <v>32</v>
      </c>
      <c r="O102" s="54" t="s">
        <v>277</v>
      </c>
      <c r="P102" s="54"/>
      <c r="Q102" s="54"/>
      <c r="R102" s="54"/>
      <c r="S102" s="57">
        <v>71</v>
      </c>
      <c r="T102" s="57"/>
      <c r="U102" s="54"/>
      <c r="V102" s="54"/>
      <c r="W102" s="55"/>
    </row>
    <row r="103" spans="2:23" ht="15" customHeight="1">
      <c r="B103" s="53">
        <v>32</v>
      </c>
      <c r="C103" s="54" t="s">
        <v>40</v>
      </c>
      <c r="D103" s="54"/>
      <c r="E103" s="54"/>
      <c r="F103" s="54"/>
      <c r="G103" s="54">
        <v>68</v>
      </c>
      <c r="H103" s="54" t="s">
        <v>88</v>
      </c>
      <c r="I103" s="54"/>
      <c r="J103" s="54"/>
      <c r="K103" s="54"/>
      <c r="L103" s="55">
        <v>13</v>
      </c>
      <c r="M103" s="22"/>
      <c r="N103" s="56">
        <v>33</v>
      </c>
      <c r="O103" s="54" t="s">
        <v>183</v>
      </c>
      <c r="P103" s="54"/>
      <c r="Q103" s="54"/>
      <c r="R103" s="54"/>
      <c r="S103" s="57">
        <v>72</v>
      </c>
      <c r="T103" s="57"/>
      <c r="U103" s="54"/>
      <c r="V103" s="54"/>
      <c r="W103" s="55"/>
    </row>
    <row r="104" spans="2:23" ht="15" customHeight="1">
      <c r="B104" s="53"/>
      <c r="C104" s="26"/>
      <c r="D104" s="26"/>
      <c r="E104" s="26"/>
      <c r="F104" s="54"/>
      <c r="G104" s="54"/>
      <c r="H104" s="54"/>
      <c r="I104" s="54"/>
      <c r="J104" s="54"/>
      <c r="K104" s="54"/>
      <c r="L104" s="55"/>
      <c r="M104" s="22"/>
      <c r="N104" s="56">
        <v>34</v>
      </c>
      <c r="O104" s="54" t="s">
        <v>166</v>
      </c>
      <c r="P104" s="54"/>
      <c r="Q104" s="54"/>
      <c r="R104" s="54"/>
      <c r="S104" s="57">
        <v>73</v>
      </c>
      <c r="T104" s="57"/>
      <c r="U104" s="54"/>
      <c r="V104" s="54"/>
      <c r="W104" s="55"/>
    </row>
    <row r="105" spans="2:23" ht="15" customHeight="1"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5"/>
      <c r="M105" s="22"/>
      <c r="N105" s="56">
        <v>35</v>
      </c>
      <c r="O105" s="54" t="s">
        <v>184</v>
      </c>
      <c r="P105" s="54"/>
      <c r="Q105" s="54"/>
      <c r="R105" s="54"/>
      <c r="S105" s="57">
        <v>74</v>
      </c>
      <c r="T105" s="57"/>
      <c r="U105" s="54"/>
      <c r="V105" s="54"/>
      <c r="W105" s="55"/>
    </row>
    <row r="106" spans="2:23" ht="15" customHeight="1"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5"/>
      <c r="M106" s="22"/>
      <c r="N106" s="56">
        <v>36</v>
      </c>
      <c r="O106" s="54" t="s">
        <v>167</v>
      </c>
      <c r="P106" s="54"/>
      <c r="Q106" s="54"/>
      <c r="R106" s="54"/>
      <c r="S106" s="57">
        <v>75</v>
      </c>
      <c r="T106" s="57"/>
      <c r="U106" s="54"/>
      <c r="V106" s="54"/>
      <c r="W106" s="55"/>
    </row>
    <row r="107" spans="2:23" ht="15" customHeight="1">
      <c r="B107" s="53">
        <v>33</v>
      </c>
      <c r="C107" s="54" t="s">
        <v>41</v>
      </c>
      <c r="D107" s="54"/>
      <c r="E107" s="54"/>
      <c r="F107" s="54"/>
      <c r="G107" s="54"/>
      <c r="H107" s="54"/>
      <c r="I107" s="54"/>
      <c r="J107" s="54"/>
      <c r="K107" s="54"/>
      <c r="L107" s="55"/>
      <c r="M107" s="22"/>
      <c r="N107" s="56">
        <v>37</v>
      </c>
      <c r="O107" s="54" t="s">
        <v>168</v>
      </c>
      <c r="P107" s="54"/>
      <c r="Q107" s="54"/>
      <c r="R107" s="54">
        <v>1</v>
      </c>
      <c r="S107" s="57">
        <v>76</v>
      </c>
      <c r="T107" s="57"/>
      <c r="U107" s="54"/>
      <c r="V107" s="54"/>
      <c r="W107" s="55"/>
    </row>
    <row r="108" spans="2:23" ht="15" customHeight="1">
      <c r="B108" s="53">
        <v>34</v>
      </c>
      <c r="C108" s="54" t="s">
        <v>42</v>
      </c>
      <c r="D108" s="54"/>
      <c r="E108" s="54"/>
      <c r="F108" s="54">
        <v>15</v>
      </c>
      <c r="G108" s="54"/>
      <c r="H108" s="54" t="s">
        <v>89</v>
      </c>
      <c r="I108" s="54"/>
      <c r="J108" s="54"/>
      <c r="K108" s="54"/>
      <c r="L108" s="55"/>
      <c r="M108" s="22"/>
      <c r="N108" s="56">
        <v>38</v>
      </c>
      <c r="O108" s="54" t="s">
        <v>169</v>
      </c>
      <c r="P108" s="54"/>
      <c r="Q108" s="54"/>
      <c r="R108" s="54">
        <v>31</v>
      </c>
      <c r="S108" s="57">
        <v>77</v>
      </c>
      <c r="T108" s="57"/>
      <c r="U108" s="54"/>
      <c r="V108" s="54"/>
      <c r="W108" s="55"/>
    </row>
    <row r="109" spans="2:23" ht="15" customHeight="1">
      <c r="B109" s="53">
        <v>35</v>
      </c>
      <c r="C109" s="54" t="s">
        <v>43</v>
      </c>
      <c r="D109" s="54"/>
      <c r="E109" s="54"/>
      <c r="F109" s="54"/>
      <c r="G109" s="54"/>
      <c r="H109" s="54" t="s">
        <v>55</v>
      </c>
      <c r="I109" s="54">
        <f>SUM(D72:D116,I72:I108)</f>
        <v>33</v>
      </c>
      <c r="J109" s="54">
        <f>SUM(D72:D117,J72:J108)+U111</f>
        <v>84</v>
      </c>
      <c r="K109" s="54">
        <f>SUM(E72:E117,K72:K108)+V111</f>
        <v>80</v>
      </c>
      <c r="L109" s="55">
        <f>SUM(F72:F116,L72:L108)+W111</f>
        <v>17882</v>
      </c>
      <c r="M109" s="22"/>
      <c r="N109" s="56">
        <v>39</v>
      </c>
      <c r="O109" s="54" t="s">
        <v>142</v>
      </c>
      <c r="P109" s="54"/>
      <c r="Q109" s="54"/>
      <c r="R109" s="54"/>
      <c r="S109" s="57">
        <v>78</v>
      </c>
      <c r="T109" s="57"/>
      <c r="U109" s="54"/>
      <c r="V109" s="54"/>
      <c r="W109" s="55"/>
    </row>
    <row r="110" spans="2:23" ht="15" customHeight="1">
      <c r="B110" s="53">
        <v>36</v>
      </c>
      <c r="C110" s="54" t="s">
        <v>90</v>
      </c>
      <c r="D110" s="54"/>
      <c r="E110" s="54"/>
      <c r="F110" s="54"/>
      <c r="G110" s="54"/>
      <c r="H110" s="54" t="s">
        <v>56</v>
      </c>
      <c r="I110" s="54"/>
      <c r="J110" s="54">
        <v>598</v>
      </c>
      <c r="K110" s="54">
        <v>799</v>
      </c>
      <c r="L110" s="55">
        <v>12</v>
      </c>
      <c r="M110" s="22"/>
      <c r="N110" s="56">
        <v>40</v>
      </c>
      <c r="O110" s="54" t="s">
        <v>185</v>
      </c>
      <c r="P110" s="54"/>
      <c r="Q110" s="54"/>
      <c r="R110" s="54"/>
      <c r="S110" s="57">
        <v>79</v>
      </c>
      <c r="T110" s="57"/>
      <c r="U110" s="54"/>
      <c r="V110" s="54"/>
      <c r="W110" s="55"/>
    </row>
    <row r="111" spans="2:23" ht="15" customHeight="1">
      <c r="B111" s="53">
        <v>37</v>
      </c>
      <c r="C111" s="54" t="s">
        <v>44</v>
      </c>
      <c r="D111" s="54"/>
      <c r="E111" s="54">
        <v>2</v>
      </c>
      <c r="F111" s="54">
        <v>2</v>
      </c>
      <c r="G111" s="54"/>
      <c r="H111" s="54" t="s">
        <v>91</v>
      </c>
      <c r="I111" s="54">
        <f>SUM(I109:I110)</f>
        <v>33</v>
      </c>
      <c r="J111" s="54">
        <f>SUM(J109:J110)</f>
        <v>682</v>
      </c>
      <c r="K111" s="54">
        <f>SUM(K109:K110)</f>
        <v>879</v>
      </c>
      <c r="L111" s="54">
        <f>SUM(L109:L110)</f>
        <v>17894</v>
      </c>
      <c r="M111" s="22"/>
      <c r="N111" s="56"/>
      <c r="O111" s="54"/>
      <c r="P111" s="54"/>
      <c r="Q111" s="54"/>
      <c r="R111" s="54"/>
      <c r="S111" s="57"/>
      <c r="T111" s="54" t="s">
        <v>6</v>
      </c>
      <c r="U111" s="54">
        <f>SUM(P72:P110)+SUM(U72:U110)</f>
        <v>38</v>
      </c>
      <c r="V111" s="54">
        <f>SUM(Q72:Q110)+SUM(V72:V110)</f>
        <v>39</v>
      </c>
      <c r="W111" s="54">
        <f>SUM(R72:R110)+SUM(W72:W110)</f>
        <v>219</v>
      </c>
    </row>
    <row r="112" spans="2:23" ht="15" customHeight="1" thickBot="1">
      <c r="B112" s="53">
        <v>38</v>
      </c>
      <c r="C112" s="54" t="s">
        <v>45</v>
      </c>
      <c r="D112" s="54"/>
      <c r="E112" s="54"/>
      <c r="F112" s="54">
        <v>4</v>
      </c>
      <c r="G112" s="54"/>
      <c r="H112" s="54"/>
      <c r="I112" s="26"/>
      <c r="J112" s="26"/>
      <c r="K112" s="54"/>
      <c r="L112" s="55"/>
      <c r="M112" s="22"/>
      <c r="N112" s="331" t="s">
        <v>94</v>
      </c>
      <c r="O112" s="332"/>
      <c r="P112" s="332"/>
      <c r="Q112" s="332"/>
      <c r="R112" s="332"/>
      <c r="S112" s="332"/>
      <c r="T112" s="332"/>
      <c r="U112" s="332"/>
      <c r="V112" s="332"/>
      <c r="W112" s="333"/>
    </row>
    <row r="113" spans="2:23" ht="15" customHeight="1">
      <c r="B113" s="53">
        <v>39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30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 spans="2:23" ht="15" customHeight="1"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55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  <row r="115" spans="2:23" ht="15" customHeight="1">
      <c r="B115" s="53">
        <v>40</v>
      </c>
      <c r="C115" s="54" t="s">
        <v>92</v>
      </c>
      <c r="D115" s="54"/>
      <c r="E115" s="54"/>
      <c r="F115" s="54"/>
      <c r="G115" s="54"/>
      <c r="H115" s="54"/>
      <c r="I115" s="54"/>
      <c r="J115" s="54"/>
      <c r="K115" s="54"/>
      <c r="L115" s="55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</row>
    <row r="116" spans="2:23" ht="15" customHeight="1">
      <c r="B116" s="53">
        <v>41</v>
      </c>
      <c r="C116" s="54" t="s">
        <v>93</v>
      </c>
      <c r="D116" s="54"/>
      <c r="E116" s="54"/>
      <c r="F116" s="54"/>
      <c r="G116" s="54"/>
      <c r="H116" s="54"/>
      <c r="I116" s="54"/>
      <c r="J116" s="54"/>
      <c r="K116" s="54"/>
      <c r="L116" s="55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spans="2:23" ht="15" customHeight="1">
      <c r="B117" s="31"/>
      <c r="C117" s="54"/>
      <c r="D117" s="54"/>
      <c r="E117" s="54"/>
      <c r="F117" s="54"/>
      <c r="G117" s="54"/>
      <c r="H117" s="54"/>
      <c r="I117" s="54"/>
      <c r="J117" s="54"/>
      <c r="K117" s="54"/>
      <c r="L117" s="55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</row>
    <row r="118" spans="2:23" ht="15" customHeight="1" thickBot="1">
      <c r="B118" s="340" t="s">
        <v>96</v>
      </c>
      <c r="C118" s="341"/>
      <c r="D118" s="341"/>
      <c r="E118" s="341"/>
      <c r="F118" s="341"/>
      <c r="G118" s="341"/>
      <c r="H118" s="341"/>
      <c r="I118" s="341"/>
      <c r="J118" s="341"/>
      <c r="K118" s="341"/>
      <c r="L118" s="342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</row>
    <row r="119" spans="2:23" ht="12.75"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21"/>
      <c r="O119" s="21"/>
      <c r="P119" s="21"/>
      <c r="Q119" s="21"/>
      <c r="R119" s="21"/>
      <c r="S119" s="21"/>
      <c r="T119" s="21"/>
      <c r="U119" s="21"/>
      <c r="V119" s="21"/>
      <c r="W119" s="21"/>
    </row>
    <row r="120" spans="2:23" ht="12.75"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2:23" ht="12.75"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spans="2:23" ht="13.5" thickBot="1"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21"/>
      <c r="O122" s="21"/>
      <c r="P122" s="21"/>
      <c r="Q122" s="21"/>
      <c r="R122" s="21"/>
      <c r="S122" s="21"/>
      <c r="T122" s="21"/>
      <c r="U122" s="21"/>
      <c r="V122" s="21"/>
      <c r="W122" s="21"/>
    </row>
    <row r="123" spans="1:23" ht="12.75">
      <c r="A123" s="4"/>
      <c r="B123" s="318" t="s">
        <v>283</v>
      </c>
      <c r="C123" s="319"/>
      <c r="D123" s="319"/>
      <c r="E123" s="319"/>
      <c r="F123" s="319"/>
      <c r="G123" s="319"/>
      <c r="H123" s="319"/>
      <c r="I123" s="319"/>
      <c r="J123" s="319"/>
      <c r="K123" s="319"/>
      <c r="L123" s="320"/>
      <c r="M123" s="74"/>
      <c r="N123" s="321" t="s">
        <v>284</v>
      </c>
      <c r="O123" s="322"/>
      <c r="P123" s="322"/>
      <c r="Q123" s="322"/>
      <c r="R123" s="322"/>
      <c r="S123" s="322"/>
      <c r="T123" s="322"/>
      <c r="U123" s="322"/>
      <c r="V123" s="322"/>
      <c r="W123" s="327"/>
    </row>
    <row r="124" spans="2:23" ht="12.75">
      <c r="B124" s="75" t="s">
        <v>58</v>
      </c>
      <c r="C124" s="76" t="s">
        <v>9</v>
      </c>
      <c r="D124" s="76" t="s">
        <v>10</v>
      </c>
      <c r="E124" s="76" t="s">
        <v>11</v>
      </c>
      <c r="F124" s="77" t="s">
        <v>129</v>
      </c>
      <c r="G124" s="54" t="s">
        <v>60</v>
      </c>
      <c r="H124" s="54" t="s">
        <v>9</v>
      </c>
      <c r="I124" s="54" t="s">
        <v>10</v>
      </c>
      <c r="J124" s="54" t="s">
        <v>10</v>
      </c>
      <c r="K124" s="54" t="s">
        <v>11</v>
      </c>
      <c r="L124" s="55" t="s">
        <v>129</v>
      </c>
      <c r="M124" s="32"/>
      <c r="N124" s="56" t="s">
        <v>60</v>
      </c>
      <c r="O124" s="57" t="s">
        <v>9</v>
      </c>
      <c r="P124" s="57" t="s">
        <v>10</v>
      </c>
      <c r="Q124" s="57" t="s">
        <v>11</v>
      </c>
      <c r="R124" s="54" t="s">
        <v>129</v>
      </c>
      <c r="S124" s="57" t="s">
        <v>60</v>
      </c>
      <c r="T124" s="57" t="s">
        <v>9</v>
      </c>
      <c r="U124" s="66" t="s">
        <v>10</v>
      </c>
      <c r="V124" s="66" t="s">
        <v>11</v>
      </c>
      <c r="W124" s="70" t="s">
        <v>129</v>
      </c>
    </row>
    <row r="125" spans="2:23" ht="12.75">
      <c r="B125" s="53">
        <v>1</v>
      </c>
      <c r="C125" s="34" t="s">
        <v>14</v>
      </c>
      <c r="D125" s="54">
        <v>75</v>
      </c>
      <c r="E125" s="54">
        <v>71</v>
      </c>
      <c r="F125" s="54"/>
      <c r="G125" s="54">
        <v>42</v>
      </c>
      <c r="H125" s="54" t="s">
        <v>63</v>
      </c>
      <c r="I125" s="24"/>
      <c r="J125" s="24"/>
      <c r="K125" s="54"/>
      <c r="L125" s="55"/>
      <c r="M125" s="29"/>
      <c r="N125" s="56">
        <v>1</v>
      </c>
      <c r="O125" s="57" t="s">
        <v>193</v>
      </c>
      <c r="P125" s="57"/>
      <c r="Q125" s="57"/>
      <c r="R125" s="57"/>
      <c r="S125" s="57"/>
      <c r="T125" s="57"/>
      <c r="U125" s="57"/>
      <c r="V125" s="57"/>
      <c r="W125" s="60"/>
    </row>
    <row r="126" spans="2:23" ht="12.75">
      <c r="B126" s="53">
        <v>2</v>
      </c>
      <c r="C126" s="54" t="s">
        <v>15</v>
      </c>
      <c r="D126" s="54">
        <v>2</v>
      </c>
      <c r="E126" s="34"/>
      <c r="F126" s="54"/>
      <c r="G126" s="54">
        <v>43</v>
      </c>
      <c r="H126" s="54" t="s">
        <v>64</v>
      </c>
      <c r="I126" s="24"/>
      <c r="J126" s="34"/>
      <c r="K126" s="54"/>
      <c r="L126" s="55"/>
      <c r="M126" s="29"/>
      <c r="N126" s="56">
        <v>2</v>
      </c>
      <c r="O126" s="57" t="s">
        <v>149</v>
      </c>
      <c r="P126" s="57">
        <v>2</v>
      </c>
      <c r="Q126" s="57">
        <v>2</v>
      </c>
      <c r="R126" s="57"/>
      <c r="S126" s="57"/>
      <c r="T126" s="57"/>
      <c r="U126" s="34"/>
      <c r="V126" s="34"/>
      <c r="W126" s="60"/>
    </row>
    <row r="127" spans="2:23" ht="12.75">
      <c r="B127" s="53">
        <v>3</v>
      </c>
      <c r="C127" s="54" t="s">
        <v>16</v>
      </c>
      <c r="D127" s="54">
        <v>2</v>
      </c>
      <c r="E127" s="54">
        <v>3</v>
      </c>
      <c r="F127" s="54"/>
      <c r="G127" s="54">
        <v>44</v>
      </c>
      <c r="H127" s="54" t="s">
        <v>65</v>
      </c>
      <c r="I127" s="24"/>
      <c r="J127" s="24"/>
      <c r="K127" s="54"/>
      <c r="L127" s="55"/>
      <c r="M127" s="29"/>
      <c r="N127" s="56">
        <v>3</v>
      </c>
      <c r="O127" s="57" t="s">
        <v>139</v>
      </c>
      <c r="P127" s="57"/>
      <c r="Q127" s="57"/>
      <c r="R127" s="57"/>
      <c r="S127" s="57"/>
      <c r="T127" s="57"/>
      <c r="U127" s="34"/>
      <c r="V127" s="34"/>
      <c r="W127" s="60"/>
    </row>
    <row r="128" spans="2:23" ht="12.75">
      <c r="B128" s="53">
        <v>4</v>
      </c>
      <c r="C128" s="54" t="s">
        <v>17</v>
      </c>
      <c r="D128" s="54">
        <v>9</v>
      </c>
      <c r="E128" s="54">
        <v>6</v>
      </c>
      <c r="F128" s="54"/>
      <c r="G128" s="54">
        <v>45</v>
      </c>
      <c r="H128" s="54" t="s">
        <v>66</v>
      </c>
      <c r="I128" s="34"/>
      <c r="J128" s="34"/>
      <c r="K128" s="54"/>
      <c r="L128" s="55"/>
      <c r="M128" s="29"/>
      <c r="N128" s="56">
        <v>4</v>
      </c>
      <c r="O128" s="57" t="s">
        <v>144</v>
      </c>
      <c r="P128" s="57">
        <v>2</v>
      </c>
      <c r="Q128" s="57">
        <v>2</v>
      </c>
      <c r="R128" s="57"/>
      <c r="S128" s="57"/>
      <c r="T128" s="57"/>
      <c r="U128" s="34"/>
      <c r="V128" s="34"/>
      <c r="W128" s="60"/>
    </row>
    <row r="129" spans="2:23" ht="12.75">
      <c r="B129" s="53">
        <v>5</v>
      </c>
      <c r="C129" s="54" t="s">
        <v>18</v>
      </c>
      <c r="D129" s="54"/>
      <c r="E129" s="54">
        <v>1</v>
      </c>
      <c r="F129" s="54"/>
      <c r="G129" s="54">
        <v>46</v>
      </c>
      <c r="H129" s="54" t="s">
        <v>67</v>
      </c>
      <c r="I129" s="34"/>
      <c r="J129" s="34"/>
      <c r="K129" s="54">
        <v>1</v>
      </c>
      <c r="L129" s="55"/>
      <c r="M129" s="29"/>
      <c r="N129" s="56">
        <v>5</v>
      </c>
      <c r="O129" s="57" t="s">
        <v>146</v>
      </c>
      <c r="P129" s="57"/>
      <c r="Q129" s="57"/>
      <c r="R129" s="57"/>
      <c r="S129" s="57"/>
      <c r="T129" s="57"/>
      <c r="U129" s="34"/>
      <c r="V129" s="34"/>
      <c r="W129" s="60"/>
    </row>
    <row r="130" spans="2:23" ht="12.75">
      <c r="B130" s="53">
        <v>6</v>
      </c>
      <c r="C130" s="54" t="s">
        <v>19</v>
      </c>
      <c r="D130" s="54">
        <v>40</v>
      </c>
      <c r="E130" s="54">
        <v>48</v>
      </c>
      <c r="F130" s="54"/>
      <c r="G130" s="54">
        <v>47</v>
      </c>
      <c r="H130" s="54" t="s">
        <v>68</v>
      </c>
      <c r="I130" s="34"/>
      <c r="J130" s="34"/>
      <c r="K130" s="54"/>
      <c r="L130" s="55"/>
      <c r="M130" s="29"/>
      <c r="N130" s="56">
        <v>6</v>
      </c>
      <c r="O130" s="57" t="s">
        <v>177</v>
      </c>
      <c r="P130" s="57">
        <v>1</v>
      </c>
      <c r="Q130" s="57">
        <v>1</v>
      </c>
      <c r="R130" s="57"/>
      <c r="S130" s="57"/>
      <c r="T130" s="57"/>
      <c r="U130" s="34"/>
      <c r="V130" s="34"/>
      <c r="W130" s="60"/>
    </row>
    <row r="131" spans="2:23" ht="12.75">
      <c r="B131" s="53">
        <v>7</v>
      </c>
      <c r="C131" s="54" t="s">
        <v>20</v>
      </c>
      <c r="D131" s="54">
        <v>11</v>
      </c>
      <c r="E131" s="54">
        <v>12</v>
      </c>
      <c r="F131" s="54"/>
      <c r="G131" s="54">
        <v>48</v>
      </c>
      <c r="H131" s="54" t="s">
        <v>69</v>
      </c>
      <c r="I131" s="34"/>
      <c r="J131" s="34"/>
      <c r="K131" s="54"/>
      <c r="L131" s="55"/>
      <c r="M131" s="29"/>
      <c r="N131" s="56">
        <v>7</v>
      </c>
      <c r="O131" s="57" t="s">
        <v>138</v>
      </c>
      <c r="P131" s="57">
        <v>1</v>
      </c>
      <c r="Q131" s="57"/>
      <c r="R131" s="57"/>
      <c r="S131" s="57"/>
      <c r="T131" s="57"/>
      <c r="U131" s="34"/>
      <c r="V131" s="34"/>
      <c r="W131" s="60"/>
    </row>
    <row r="132" spans="2:23" ht="12.75">
      <c r="B132" s="53">
        <v>8</v>
      </c>
      <c r="C132" s="54" t="s">
        <v>21</v>
      </c>
      <c r="D132" s="54">
        <v>51</v>
      </c>
      <c r="E132" s="54">
        <v>49</v>
      </c>
      <c r="F132" s="54"/>
      <c r="G132" s="54">
        <v>49</v>
      </c>
      <c r="H132" s="54" t="s">
        <v>47</v>
      </c>
      <c r="I132" s="34"/>
      <c r="J132" s="34">
        <v>46</v>
      </c>
      <c r="K132" s="34">
        <v>24</v>
      </c>
      <c r="L132" s="55"/>
      <c r="M132" s="29"/>
      <c r="N132" s="56">
        <v>8</v>
      </c>
      <c r="O132" s="57" t="s">
        <v>189</v>
      </c>
      <c r="P132" s="57"/>
      <c r="Q132" s="57"/>
      <c r="R132" s="57"/>
      <c r="S132" s="57"/>
      <c r="T132" s="57"/>
      <c r="U132" s="34"/>
      <c r="V132" s="34"/>
      <c r="W132" s="60"/>
    </row>
    <row r="133" spans="2:23" ht="12.75">
      <c r="B133" s="53">
        <v>9</v>
      </c>
      <c r="C133" s="54" t="s">
        <v>22</v>
      </c>
      <c r="D133" s="54">
        <v>1</v>
      </c>
      <c r="E133" s="54">
        <v>1</v>
      </c>
      <c r="F133" s="54"/>
      <c r="G133" s="54">
        <v>50</v>
      </c>
      <c r="H133" s="54" t="s">
        <v>48</v>
      </c>
      <c r="I133" s="34"/>
      <c r="J133" s="34">
        <v>2</v>
      </c>
      <c r="K133" s="54">
        <v>2</v>
      </c>
      <c r="L133" s="55"/>
      <c r="M133" s="29"/>
      <c r="N133" s="56">
        <v>9</v>
      </c>
      <c r="O133" s="57" t="s">
        <v>190</v>
      </c>
      <c r="P133" s="57"/>
      <c r="Q133" s="57"/>
      <c r="R133" s="57"/>
      <c r="S133" s="57"/>
      <c r="T133" s="57"/>
      <c r="U133" s="34"/>
      <c r="V133" s="34"/>
      <c r="W133" s="60"/>
    </row>
    <row r="134" spans="2:23" ht="12.75">
      <c r="B134" s="53">
        <v>10</v>
      </c>
      <c r="C134" s="54" t="s">
        <v>23</v>
      </c>
      <c r="D134" s="54">
        <v>4</v>
      </c>
      <c r="E134" s="54">
        <v>7</v>
      </c>
      <c r="F134" s="54"/>
      <c r="G134" s="54">
        <v>51</v>
      </c>
      <c r="H134" s="54" t="s">
        <v>49</v>
      </c>
      <c r="I134" s="34"/>
      <c r="J134" s="34"/>
      <c r="K134" s="54">
        <v>1</v>
      </c>
      <c r="L134" s="55"/>
      <c r="M134" s="29"/>
      <c r="N134" s="56">
        <v>10</v>
      </c>
      <c r="O134" s="34" t="s">
        <v>143</v>
      </c>
      <c r="P134" s="34">
        <v>1</v>
      </c>
      <c r="Q134" s="34">
        <v>1</v>
      </c>
      <c r="R134" s="57"/>
      <c r="S134" s="57"/>
      <c r="T134" s="57"/>
      <c r="U134" s="34"/>
      <c r="V134" s="34"/>
      <c r="W134" s="60"/>
    </row>
    <row r="135" spans="2:23" ht="12.75">
      <c r="B135" s="53">
        <v>11</v>
      </c>
      <c r="C135" s="54" t="s">
        <v>24</v>
      </c>
      <c r="D135" s="54">
        <v>6</v>
      </c>
      <c r="E135" s="54">
        <v>6</v>
      </c>
      <c r="F135" s="54"/>
      <c r="G135" s="54">
        <v>52</v>
      </c>
      <c r="H135" s="54" t="s">
        <v>70</v>
      </c>
      <c r="I135" s="24"/>
      <c r="J135" s="24"/>
      <c r="K135" s="54"/>
      <c r="L135" s="55"/>
      <c r="M135" s="29"/>
      <c r="N135" s="56">
        <v>11</v>
      </c>
      <c r="O135" s="71" t="s">
        <v>160</v>
      </c>
      <c r="P135" s="71"/>
      <c r="Q135" s="71"/>
      <c r="R135" s="57"/>
      <c r="S135" s="57"/>
      <c r="T135" s="57"/>
      <c r="U135" s="34"/>
      <c r="V135" s="34"/>
      <c r="W135" s="60"/>
    </row>
    <row r="136" spans="2:23" ht="12.75">
      <c r="B136" s="53">
        <v>12</v>
      </c>
      <c r="C136" s="54" t="s">
        <v>25</v>
      </c>
      <c r="D136" s="34">
        <v>13</v>
      </c>
      <c r="E136" s="54">
        <v>18</v>
      </c>
      <c r="F136" s="54"/>
      <c r="G136" s="97"/>
      <c r="H136" s="54"/>
      <c r="I136" s="24"/>
      <c r="J136" s="24"/>
      <c r="K136" s="54"/>
      <c r="L136" s="55"/>
      <c r="M136" s="29"/>
      <c r="N136" s="56">
        <v>12</v>
      </c>
      <c r="O136" s="34" t="s">
        <v>141</v>
      </c>
      <c r="P136" s="34"/>
      <c r="Q136" s="34"/>
      <c r="R136" s="57"/>
      <c r="S136" s="57"/>
      <c r="T136" s="57"/>
      <c r="U136" s="34"/>
      <c r="V136" s="34"/>
      <c r="W136" s="60"/>
    </row>
    <row r="137" spans="2:23" ht="12.75">
      <c r="B137" s="53">
        <v>13</v>
      </c>
      <c r="C137" s="54" t="s">
        <v>26</v>
      </c>
      <c r="D137" s="54">
        <v>41</v>
      </c>
      <c r="E137" s="54">
        <v>44</v>
      </c>
      <c r="F137" s="54"/>
      <c r="G137" s="97"/>
      <c r="H137" s="54"/>
      <c r="I137" s="24"/>
      <c r="J137" s="24"/>
      <c r="K137" s="54"/>
      <c r="L137" s="55"/>
      <c r="M137" s="29"/>
      <c r="N137" s="56">
        <v>13</v>
      </c>
      <c r="O137" s="34" t="s">
        <v>140</v>
      </c>
      <c r="P137" s="97"/>
      <c r="Q137" s="97"/>
      <c r="R137" s="57"/>
      <c r="S137" s="57"/>
      <c r="T137" s="57"/>
      <c r="U137" s="34"/>
      <c r="V137" s="34"/>
      <c r="W137" s="23"/>
    </row>
    <row r="138" spans="2:23" ht="12.75">
      <c r="B138" s="53">
        <v>14</v>
      </c>
      <c r="C138" s="54" t="s">
        <v>71</v>
      </c>
      <c r="D138" s="54"/>
      <c r="E138" s="54"/>
      <c r="F138" s="54"/>
      <c r="G138" s="54">
        <v>53</v>
      </c>
      <c r="H138" s="54" t="s">
        <v>72</v>
      </c>
      <c r="I138" s="24"/>
      <c r="J138" s="24"/>
      <c r="K138" s="54"/>
      <c r="L138" s="55"/>
      <c r="M138" s="29"/>
      <c r="N138" s="56">
        <v>14</v>
      </c>
      <c r="O138" s="34" t="s">
        <v>194</v>
      </c>
      <c r="P138" s="34">
        <v>1</v>
      </c>
      <c r="Q138" s="34">
        <v>1</v>
      </c>
      <c r="R138" s="57"/>
      <c r="S138" s="57"/>
      <c r="T138" s="57"/>
      <c r="U138" s="24"/>
      <c r="V138" s="24"/>
      <c r="W138" s="23"/>
    </row>
    <row r="139" spans="2:23" ht="12.75">
      <c r="B139" s="53">
        <v>15</v>
      </c>
      <c r="C139" s="54" t="s">
        <v>27</v>
      </c>
      <c r="D139" s="54"/>
      <c r="E139" s="54"/>
      <c r="F139" s="54"/>
      <c r="G139" s="54">
        <v>54</v>
      </c>
      <c r="H139" s="54" t="s">
        <v>74</v>
      </c>
      <c r="I139" s="54"/>
      <c r="J139" s="54"/>
      <c r="K139" s="54"/>
      <c r="L139" s="55"/>
      <c r="M139" s="29"/>
      <c r="N139" s="56">
        <v>15</v>
      </c>
      <c r="O139" s="57" t="s">
        <v>166</v>
      </c>
      <c r="P139" s="57"/>
      <c r="Q139" s="57"/>
      <c r="R139" s="57"/>
      <c r="S139" s="57"/>
      <c r="T139" s="57"/>
      <c r="U139" s="24"/>
      <c r="V139" s="24"/>
      <c r="W139" s="60"/>
    </row>
    <row r="140" spans="2:23" ht="12.75">
      <c r="B140" s="53">
        <v>16</v>
      </c>
      <c r="C140" s="54" t="s">
        <v>28</v>
      </c>
      <c r="D140" s="54"/>
      <c r="E140" s="34"/>
      <c r="F140" s="54"/>
      <c r="G140" s="54">
        <v>55</v>
      </c>
      <c r="H140" s="54" t="s">
        <v>50</v>
      </c>
      <c r="I140" s="34"/>
      <c r="J140" s="34"/>
      <c r="K140" s="54"/>
      <c r="L140" s="55"/>
      <c r="M140" s="29"/>
      <c r="N140" s="56">
        <v>16</v>
      </c>
      <c r="O140" s="57" t="s">
        <v>168</v>
      </c>
      <c r="P140" s="57">
        <v>2</v>
      </c>
      <c r="Q140" s="57">
        <v>2</v>
      </c>
      <c r="R140" s="57"/>
      <c r="S140" s="57"/>
      <c r="T140" s="57"/>
      <c r="U140" s="34"/>
      <c r="V140" s="34"/>
      <c r="W140" s="60"/>
    </row>
    <row r="141" spans="2:23" ht="12.75">
      <c r="B141" s="53">
        <v>17</v>
      </c>
      <c r="C141" s="54" t="s">
        <v>29</v>
      </c>
      <c r="D141" s="54">
        <v>2</v>
      </c>
      <c r="E141" s="34">
        <v>2</v>
      </c>
      <c r="F141" s="54"/>
      <c r="G141" s="54">
        <v>56</v>
      </c>
      <c r="H141" s="54" t="s">
        <v>76</v>
      </c>
      <c r="I141" s="34"/>
      <c r="J141" s="34"/>
      <c r="K141" s="54"/>
      <c r="L141" s="55"/>
      <c r="M141" s="29"/>
      <c r="N141" s="56">
        <v>17</v>
      </c>
      <c r="O141" s="57" t="s">
        <v>209</v>
      </c>
      <c r="P141" s="57"/>
      <c r="Q141" s="57"/>
      <c r="R141" s="57"/>
      <c r="S141" s="57"/>
      <c r="T141" s="57"/>
      <c r="U141" s="34"/>
      <c r="V141" s="34"/>
      <c r="W141" s="60"/>
    </row>
    <row r="142" spans="2:23" ht="12.75">
      <c r="B142" s="53">
        <v>18</v>
      </c>
      <c r="C142" s="54" t="s">
        <v>30</v>
      </c>
      <c r="D142" s="78">
        <v>579</v>
      </c>
      <c r="E142" s="79">
        <v>594</v>
      </c>
      <c r="F142" s="54"/>
      <c r="G142" s="54">
        <v>57</v>
      </c>
      <c r="H142" s="54" t="s">
        <v>51</v>
      </c>
      <c r="I142" s="34"/>
      <c r="J142" s="34">
        <v>1</v>
      </c>
      <c r="K142" s="54">
        <v>1</v>
      </c>
      <c r="L142" s="55"/>
      <c r="M142" s="29"/>
      <c r="N142" s="56">
        <v>18</v>
      </c>
      <c r="O142" s="57" t="s">
        <v>221</v>
      </c>
      <c r="P142" s="57"/>
      <c r="Q142" s="57"/>
      <c r="R142" s="57"/>
      <c r="S142" s="57"/>
      <c r="T142" s="57"/>
      <c r="U142" s="34"/>
      <c r="V142" s="34"/>
      <c r="W142" s="60"/>
    </row>
    <row r="143" spans="2:23" ht="12.75">
      <c r="B143" s="53">
        <v>19</v>
      </c>
      <c r="C143" s="54" t="s">
        <v>31</v>
      </c>
      <c r="D143" s="54">
        <v>56</v>
      </c>
      <c r="E143" s="54">
        <v>43</v>
      </c>
      <c r="F143" s="54"/>
      <c r="G143" s="54">
        <v>58</v>
      </c>
      <c r="H143" s="54" t="s">
        <v>77</v>
      </c>
      <c r="I143" s="34"/>
      <c r="J143" s="34">
        <v>219</v>
      </c>
      <c r="K143" s="54">
        <v>127</v>
      </c>
      <c r="L143" s="55"/>
      <c r="M143" s="29"/>
      <c r="N143" s="56">
        <v>19</v>
      </c>
      <c r="O143" s="57" t="s">
        <v>156</v>
      </c>
      <c r="P143" s="57"/>
      <c r="Q143" s="57"/>
      <c r="R143" s="57"/>
      <c r="S143" s="57"/>
      <c r="T143" s="57"/>
      <c r="U143" s="34"/>
      <c r="V143" s="34"/>
      <c r="W143" s="60"/>
    </row>
    <row r="144" spans="2:23" ht="12.75">
      <c r="B144" s="53">
        <v>20</v>
      </c>
      <c r="C144" s="54" t="s">
        <v>32</v>
      </c>
      <c r="D144" s="54">
        <v>13</v>
      </c>
      <c r="E144" s="54">
        <v>5</v>
      </c>
      <c r="F144" s="54"/>
      <c r="G144" s="54">
        <v>59</v>
      </c>
      <c r="H144" s="54" t="s">
        <v>75</v>
      </c>
      <c r="I144" s="34"/>
      <c r="J144" s="34">
        <v>1</v>
      </c>
      <c r="K144" s="54">
        <v>1</v>
      </c>
      <c r="L144" s="55"/>
      <c r="M144" s="29"/>
      <c r="N144" s="56">
        <v>20</v>
      </c>
      <c r="O144" s="57" t="s">
        <v>162</v>
      </c>
      <c r="P144" s="57"/>
      <c r="Q144" s="57"/>
      <c r="R144" s="57"/>
      <c r="S144" s="57"/>
      <c r="T144" s="57"/>
      <c r="U144" s="34"/>
      <c r="V144" s="34"/>
      <c r="W144" s="60"/>
    </row>
    <row r="145" spans="2:23" ht="12.75">
      <c r="B145" s="53">
        <v>21</v>
      </c>
      <c r="C145" s="54" t="s">
        <v>33</v>
      </c>
      <c r="D145" s="54">
        <v>3</v>
      </c>
      <c r="E145" s="54"/>
      <c r="F145" s="54"/>
      <c r="G145" s="54">
        <v>60</v>
      </c>
      <c r="H145" s="54" t="s">
        <v>53</v>
      </c>
      <c r="I145" s="24"/>
      <c r="J145" s="34"/>
      <c r="K145" s="54"/>
      <c r="L145" s="55"/>
      <c r="M145" s="29"/>
      <c r="N145" s="56">
        <v>21</v>
      </c>
      <c r="O145" s="57" t="s">
        <v>163</v>
      </c>
      <c r="P145" s="57"/>
      <c r="Q145" s="57"/>
      <c r="R145" s="57"/>
      <c r="S145" s="57"/>
      <c r="T145" s="57"/>
      <c r="U145" s="34"/>
      <c r="V145" s="34"/>
      <c r="W145" s="60"/>
    </row>
    <row r="146" spans="2:23" ht="12.75">
      <c r="B146" s="53">
        <v>22</v>
      </c>
      <c r="C146" s="54" t="s">
        <v>34</v>
      </c>
      <c r="D146" s="54">
        <v>9</v>
      </c>
      <c r="E146" s="54">
        <v>7</v>
      </c>
      <c r="F146" s="54"/>
      <c r="G146" s="54">
        <v>61</v>
      </c>
      <c r="H146" s="54" t="s">
        <v>78</v>
      </c>
      <c r="I146" s="54"/>
      <c r="J146" s="54">
        <v>1</v>
      </c>
      <c r="K146" s="54">
        <v>1</v>
      </c>
      <c r="L146" s="55"/>
      <c r="M146" s="29"/>
      <c r="N146" s="56">
        <v>22</v>
      </c>
      <c r="O146" s="57" t="s">
        <v>171</v>
      </c>
      <c r="P146" s="57"/>
      <c r="Q146" s="57"/>
      <c r="R146" s="57"/>
      <c r="S146" s="57"/>
      <c r="T146" s="57"/>
      <c r="U146" s="34"/>
      <c r="V146" s="34"/>
      <c r="W146" s="60"/>
    </row>
    <row r="147" spans="2:23" ht="12.75">
      <c r="B147" s="53">
        <v>23</v>
      </c>
      <c r="C147" s="54" t="s">
        <v>79</v>
      </c>
      <c r="D147" s="54">
        <v>1</v>
      </c>
      <c r="E147" s="54">
        <v>1</v>
      </c>
      <c r="F147" s="54"/>
      <c r="G147" s="54">
        <v>62</v>
      </c>
      <c r="H147" s="54"/>
      <c r="I147" s="24"/>
      <c r="J147" s="24"/>
      <c r="K147" s="54"/>
      <c r="L147" s="55"/>
      <c r="M147" s="29"/>
      <c r="N147" s="56">
        <v>23</v>
      </c>
      <c r="O147" s="57" t="s">
        <v>222</v>
      </c>
      <c r="P147" s="57"/>
      <c r="Q147" s="57"/>
      <c r="R147" s="57"/>
      <c r="S147" s="57"/>
      <c r="T147" s="57"/>
      <c r="U147" s="34"/>
      <c r="V147" s="34"/>
      <c r="W147" s="60"/>
    </row>
    <row r="148" spans="2:23" ht="12.75">
      <c r="B148" s="53">
        <v>24</v>
      </c>
      <c r="C148" s="54" t="s">
        <v>80</v>
      </c>
      <c r="D148" s="34"/>
      <c r="E148" s="54"/>
      <c r="F148" s="54"/>
      <c r="G148" s="54"/>
      <c r="H148" s="54"/>
      <c r="I148" s="24"/>
      <c r="J148" s="24"/>
      <c r="K148" s="54"/>
      <c r="L148" s="55"/>
      <c r="M148" s="29"/>
      <c r="N148" s="56">
        <v>24</v>
      </c>
      <c r="O148" s="57" t="s">
        <v>169</v>
      </c>
      <c r="P148" s="57"/>
      <c r="Q148" s="57"/>
      <c r="R148" s="57"/>
      <c r="S148" s="57"/>
      <c r="T148" s="57"/>
      <c r="U148" s="34"/>
      <c r="V148" s="34"/>
      <c r="W148" s="60"/>
    </row>
    <row r="149" spans="2:23" ht="12.75">
      <c r="B149" s="53">
        <v>25</v>
      </c>
      <c r="C149" s="54" t="s">
        <v>81</v>
      </c>
      <c r="D149" s="54">
        <v>10</v>
      </c>
      <c r="E149" s="54">
        <v>12</v>
      </c>
      <c r="F149" s="54"/>
      <c r="G149" s="54"/>
      <c r="H149" s="54"/>
      <c r="I149" s="24"/>
      <c r="J149" s="24"/>
      <c r="K149" s="54"/>
      <c r="L149" s="55"/>
      <c r="M149" s="29"/>
      <c r="N149" s="56">
        <v>25</v>
      </c>
      <c r="O149" s="57" t="s">
        <v>203</v>
      </c>
      <c r="P149" s="57"/>
      <c r="Q149" s="57"/>
      <c r="R149" s="57"/>
      <c r="S149" s="57"/>
      <c r="T149" s="57"/>
      <c r="U149" s="34"/>
      <c r="V149" s="34"/>
      <c r="W149" s="60"/>
    </row>
    <row r="150" spans="2:23" ht="12.75">
      <c r="B150" s="53">
        <v>26</v>
      </c>
      <c r="C150" s="54" t="s">
        <v>35</v>
      </c>
      <c r="D150" s="54">
        <v>17</v>
      </c>
      <c r="E150" s="54">
        <v>14</v>
      </c>
      <c r="F150" s="54"/>
      <c r="G150" s="54"/>
      <c r="H150" s="54"/>
      <c r="I150" s="24"/>
      <c r="J150" s="24"/>
      <c r="K150" s="54"/>
      <c r="L150" s="55"/>
      <c r="M150" s="29"/>
      <c r="N150" s="56">
        <v>26</v>
      </c>
      <c r="O150" s="57" t="s">
        <v>182</v>
      </c>
      <c r="P150" s="57"/>
      <c r="Q150" s="57"/>
      <c r="R150" s="57"/>
      <c r="S150" s="57"/>
      <c r="T150" s="57"/>
      <c r="U150" s="34"/>
      <c r="V150" s="34"/>
      <c r="W150" s="60"/>
    </row>
    <row r="151" spans="2:23" ht="12.75">
      <c r="B151" s="53">
        <v>27</v>
      </c>
      <c r="C151" s="54" t="s">
        <v>36</v>
      </c>
      <c r="D151" s="34">
        <v>1</v>
      </c>
      <c r="E151" s="54"/>
      <c r="F151" s="54"/>
      <c r="G151" s="54">
        <v>63</v>
      </c>
      <c r="H151" s="54" t="s">
        <v>82</v>
      </c>
      <c r="I151" s="34"/>
      <c r="J151" s="34"/>
      <c r="K151" s="54"/>
      <c r="L151" s="55"/>
      <c r="M151" s="29"/>
      <c r="N151" s="56">
        <v>27</v>
      </c>
      <c r="O151" s="57" t="s">
        <v>170</v>
      </c>
      <c r="P151" s="57"/>
      <c r="Q151" s="57"/>
      <c r="R151" s="57"/>
      <c r="S151" s="57"/>
      <c r="T151" s="57"/>
      <c r="U151" s="34"/>
      <c r="V151" s="34"/>
      <c r="W151" s="60"/>
    </row>
    <row r="152" spans="2:23" ht="12.75">
      <c r="B152" s="53">
        <v>28</v>
      </c>
      <c r="C152" s="54" t="s">
        <v>37</v>
      </c>
      <c r="D152" s="54">
        <v>5</v>
      </c>
      <c r="E152" s="54">
        <v>6</v>
      </c>
      <c r="F152" s="54"/>
      <c r="G152" s="54">
        <v>64</v>
      </c>
      <c r="H152" s="54" t="s">
        <v>83</v>
      </c>
      <c r="I152" s="34"/>
      <c r="J152" s="34"/>
      <c r="K152" s="54">
        <v>1</v>
      </c>
      <c r="L152" s="55"/>
      <c r="M152" s="29"/>
      <c r="N152" s="56">
        <v>28</v>
      </c>
      <c r="O152" s="57" t="s">
        <v>191</v>
      </c>
      <c r="P152" s="57"/>
      <c r="Q152" s="57"/>
      <c r="R152" s="57"/>
      <c r="S152" s="57"/>
      <c r="T152" s="57"/>
      <c r="U152" s="34"/>
      <c r="V152" s="34"/>
      <c r="W152" s="60"/>
    </row>
    <row r="153" spans="2:23" ht="12.75">
      <c r="B153" s="53">
        <v>29</v>
      </c>
      <c r="C153" s="54" t="s">
        <v>38</v>
      </c>
      <c r="D153" s="54">
        <v>4</v>
      </c>
      <c r="E153" s="34">
        <v>3</v>
      </c>
      <c r="F153" s="54"/>
      <c r="G153" s="54">
        <v>65</v>
      </c>
      <c r="H153" s="54" t="s">
        <v>84</v>
      </c>
      <c r="I153" s="34"/>
      <c r="J153" s="84">
        <v>1</v>
      </c>
      <c r="K153" s="34">
        <v>1</v>
      </c>
      <c r="L153" s="55"/>
      <c r="M153" s="29"/>
      <c r="N153" s="56">
        <v>29</v>
      </c>
      <c r="O153" s="34" t="s">
        <v>174</v>
      </c>
      <c r="P153" s="34"/>
      <c r="Q153" s="34"/>
      <c r="R153" s="34"/>
      <c r="S153" s="57"/>
      <c r="T153" s="57"/>
      <c r="U153" s="34"/>
      <c r="V153" s="34"/>
      <c r="W153" s="60"/>
    </row>
    <row r="154" spans="2:23" ht="12.75">
      <c r="B154" s="53">
        <v>30</v>
      </c>
      <c r="C154" s="54" t="s">
        <v>39</v>
      </c>
      <c r="D154" s="54">
        <v>7</v>
      </c>
      <c r="E154" s="34">
        <v>12</v>
      </c>
      <c r="F154" s="54"/>
      <c r="G154" s="54">
        <v>66</v>
      </c>
      <c r="H154" s="54" t="s">
        <v>85</v>
      </c>
      <c r="I154" s="24"/>
      <c r="J154" s="34"/>
      <c r="K154" s="54"/>
      <c r="L154" s="55"/>
      <c r="M154" s="29"/>
      <c r="N154" s="56">
        <v>30</v>
      </c>
      <c r="O154" s="34" t="s">
        <v>251</v>
      </c>
      <c r="P154" s="34"/>
      <c r="Q154" s="34"/>
      <c r="R154" s="34"/>
      <c r="S154" s="57"/>
      <c r="T154" s="57"/>
      <c r="U154" s="34"/>
      <c r="V154" s="34"/>
      <c r="W154" s="60"/>
    </row>
    <row r="155" spans="2:23" ht="12.75">
      <c r="B155" s="53">
        <v>31</v>
      </c>
      <c r="C155" s="54" t="s">
        <v>86</v>
      </c>
      <c r="D155" s="54">
        <v>3</v>
      </c>
      <c r="E155" s="54">
        <v>3</v>
      </c>
      <c r="F155" s="54"/>
      <c r="G155" s="54">
        <v>67</v>
      </c>
      <c r="H155" s="54" t="s">
        <v>87</v>
      </c>
      <c r="I155" s="34"/>
      <c r="J155" s="34"/>
      <c r="K155" s="34"/>
      <c r="L155" s="55"/>
      <c r="M155" s="29"/>
      <c r="N155" s="56">
        <v>31</v>
      </c>
      <c r="O155" s="34" t="s">
        <v>252</v>
      </c>
      <c r="P155" s="34"/>
      <c r="Q155" s="34"/>
      <c r="R155" s="34"/>
      <c r="S155" s="57"/>
      <c r="T155" s="57"/>
      <c r="U155" s="34"/>
      <c r="V155" s="34"/>
      <c r="W155" s="60"/>
    </row>
    <row r="156" spans="2:23" ht="12.75">
      <c r="B156" s="53">
        <v>32</v>
      </c>
      <c r="C156" s="54" t="s">
        <v>40</v>
      </c>
      <c r="D156" s="54"/>
      <c r="E156" s="34"/>
      <c r="F156" s="54"/>
      <c r="G156" s="54">
        <v>68</v>
      </c>
      <c r="H156" s="54" t="s">
        <v>88</v>
      </c>
      <c r="I156" s="24"/>
      <c r="J156" s="54"/>
      <c r="K156" s="54"/>
      <c r="L156" s="55"/>
      <c r="M156" s="29"/>
      <c r="N156" s="56">
        <v>32</v>
      </c>
      <c r="O156" s="34" t="s">
        <v>167</v>
      </c>
      <c r="P156" s="34">
        <v>2</v>
      </c>
      <c r="Q156" s="34">
        <v>1</v>
      </c>
      <c r="R156" s="34"/>
      <c r="S156" s="57"/>
      <c r="T156" s="57"/>
      <c r="U156" s="34"/>
      <c r="V156" s="34"/>
      <c r="W156" s="60"/>
    </row>
    <row r="157" spans="2:23" ht="12.75">
      <c r="B157" s="53"/>
      <c r="C157" s="54"/>
      <c r="D157" s="54"/>
      <c r="E157" s="54"/>
      <c r="F157" s="54"/>
      <c r="G157" s="54"/>
      <c r="H157" s="54"/>
      <c r="I157" s="34"/>
      <c r="J157" s="34"/>
      <c r="K157" s="54"/>
      <c r="L157" s="55"/>
      <c r="M157" s="29"/>
      <c r="N157" s="56"/>
      <c r="O157" s="34" t="s">
        <v>198</v>
      </c>
      <c r="P157" s="34"/>
      <c r="Q157" s="34"/>
      <c r="R157" s="34"/>
      <c r="S157" s="57"/>
      <c r="T157" s="57"/>
      <c r="U157" s="34"/>
      <c r="V157" s="34"/>
      <c r="W157" s="60"/>
    </row>
    <row r="158" spans="2:23" ht="12.75">
      <c r="B158" s="53"/>
      <c r="C158" s="54"/>
      <c r="D158" s="54"/>
      <c r="E158" s="54"/>
      <c r="F158" s="54"/>
      <c r="G158" s="54"/>
      <c r="H158" s="54"/>
      <c r="I158" s="24"/>
      <c r="J158" s="24"/>
      <c r="K158" s="54"/>
      <c r="L158" s="55"/>
      <c r="M158" s="29"/>
      <c r="N158" s="56"/>
      <c r="O158" s="34" t="s">
        <v>173</v>
      </c>
      <c r="P158" s="34"/>
      <c r="Q158" s="34"/>
      <c r="R158" s="34"/>
      <c r="S158" s="57"/>
      <c r="T158" s="57"/>
      <c r="U158" s="34"/>
      <c r="V158" s="34"/>
      <c r="W158" s="60"/>
    </row>
    <row r="159" spans="2:23" ht="12.75">
      <c r="B159" s="53"/>
      <c r="C159" s="54"/>
      <c r="D159" s="54"/>
      <c r="E159" s="54"/>
      <c r="F159" s="54"/>
      <c r="G159" s="54"/>
      <c r="H159" s="54"/>
      <c r="I159" s="24"/>
      <c r="J159" s="24"/>
      <c r="K159" s="54"/>
      <c r="L159" s="55"/>
      <c r="M159" s="29"/>
      <c r="N159" s="56"/>
      <c r="O159" s="24" t="s">
        <v>256</v>
      </c>
      <c r="P159" s="24"/>
      <c r="Q159" s="24"/>
      <c r="R159" s="24"/>
      <c r="S159" s="57"/>
      <c r="T159" s="57"/>
      <c r="U159" s="34"/>
      <c r="V159" s="34"/>
      <c r="W159" s="60"/>
    </row>
    <row r="160" spans="2:23" ht="12.75">
      <c r="B160" s="53">
        <v>33</v>
      </c>
      <c r="C160" s="54" t="s">
        <v>41</v>
      </c>
      <c r="D160" s="54"/>
      <c r="E160" s="54"/>
      <c r="F160" s="54"/>
      <c r="G160" s="54"/>
      <c r="H160" s="54"/>
      <c r="I160" s="24"/>
      <c r="J160" s="24"/>
      <c r="K160" s="54"/>
      <c r="L160" s="55"/>
      <c r="M160" s="29"/>
      <c r="N160" s="56"/>
      <c r="O160" s="24" t="s">
        <v>197</v>
      </c>
      <c r="P160" s="24">
        <v>2</v>
      </c>
      <c r="Q160" s="24">
        <v>2</v>
      </c>
      <c r="R160" s="24"/>
      <c r="S160" s="57"/>
      <c r="T160" s="57"/>
      <c r="U160" s="34"/>
      <c r="V160" s="34"/>
      <c r="W160" s="60"/>
    </row>
    <row r="161" spans="2:23" ht="12.75">
      <c r="B161" s="53">
        <v>34</v>
      </c>
      <c r="C161" s="54" t="s">
        <v>42</v>
      </c>
      <c r="D161" s="54"/>
      <c r="E161" s="54"/>
      <c r="F161" s="54"/>
      <c r="G161" s="54"/>
      <c r="H161" s="54" t="s">
        <v>89</v>
      </c>
      <c r="I161" s="34"/>
      <c r="J161" s="34">
        <f>U165</f>
        <v>14</v>
      </c>
      <c r="K161" s="34">
        <f>V165</f>
        <v>12</v>
      </c>
      <c r="L161" s="60">
        <f>W165</f>
        <v>0</v>
      </c>
      <c r="M161" s="29"/>
      <c r="N161" s="56"/>
      <c r="O161" s="24" t="s">
        <v>157</v>
      </c>
      <c r="P161" s="24"/>
      <c r="Q161" s="24"/>
      <c r="R161" s="24"/>
      <c r="S161" s="57"/>
      <c r="T161" s="57"/>
      <c r="U161" s="34"/>
      <c r="V161" s="34"/>
      <c r="W161" s="60"/>
    </row>
    <row r="162" spans="2:23" ht="12.75">
      <c r="B162" s="53">
        <v>35</v>
      </c>
      <c r="C162" s="54" t="s">
        <v>43</v>
      </c>
      <c r="D162" s="54"/>
      <c r="E162" s="54"/>
      <c r="F162" s="54"/>
      <c r="G162" s="54"/>
      <c r="H162" s="54" t="s">
        <v>55</v>
      </c>
      <c r="I162" s="54">
        <f>SUM(D125:D170,I125:I161)</f>
        <v>965</v>
      </c>
      <c r="J162" s="54">
        <f>SUM(D125:D170,J125:J161)</f>
        <v>1250</v>
      </c>
      <c r="K162" s="54">
        <f>SUM(E125:E170,K125:K161)</f>
        <v>1140</v>
      </c>
      <c r="L162" s="55">
        <f>SUM(F125:F170,L125:L161)</f>
        <v>0</v>
      </c>
      <c r="M162" s="29"/>
      <c r="N162" s="56"/>
      <c r="O162" s="34" t="s">
        <v>199</v>
      </c>
      <c r="P162" s="34"/>
      <c r="Q162" s="34"/>
      <c r="R162" s="34"/>
      <c r="S162" s="57"/>
      <c r="T162" s="57"/>
      <c r="U162" s="34"/>
      <c r="V162" s="34"/>
      <c r="W162" s="60"/>
    </row>
    <row r="163" spans="2:23" ht="12.75">
      <c r="B163" s="53">
        <v>36</v>
      </c>
      <c r="C163" s="54" t="s">
        <v>90</v>
      </c>
      <c r="D163" s="54"/>
      <c r="E163" s="54"/>
      <c r="F163" s="54"/>
      <c r="G163" s="54"/>
      <c r="H163" s="54" t="s">
        <v>56</v>
      </c>
      <c r="I163" s="54"/>
      <c r="J163" s="77">
        <v>685</v>
      </c>
      <c r="K163" s="77">
        <v>625</v>
      </c>
      <c r="L163" s="55"/>
      <c r="M163" s="29"/>
      <c r="N163" s="56"/>
      <c r="O163" s="34" t="s">
        <v>159</v>
      </c>
      <c r="P163" s="34"/>
      <c r="Q163" s="34"/>
      <c r="R163" s="34"/>
      <c r="S163" s="57"/>
      <c r="T163" s="57"/>
      <c r="U163" s="34"/>
      <c r="V163" s="34"/>
      <c r="W163" s="60"/>
    </row>
    <row r="164" spans="2:23" ht="12.75">
      <c r="B164" s="53">
        <v>37</v>
      </c>
      <c r="C164" s="54" t="s">
        <v>44</v>
      </c>
      <c r="D164" s="54"/>
      <c r="E164" s="54"/>
      <c r="F164" s="54"/>
      <c r="G164" s="54"/>
      <c r="H164" s="54" t="s">
        <v>91</v>
      </c>
      <c r="I164" s="54">
        <f>SUM(I162:I163)</f>
        <v>965</v>
      </c>
      <c r="J164" s="54">
        <f>SUM(J162:J163)</f>
        <v>1935</v>
      </c>
      <c r="K164" s="54">
        <f>SUM(K162:K163)</f>
        <v>1765</v>
      </c>
      <c r="L164" s="55">
        <f>SUM(L162:L163)</f>
        <v>0</v>
      </c>
      <c r="M164" s="29"/>
      <c r="N164" s="56"/>
      <c r="O164" s="34" t="s">
        <v>255</v>
      </c>
      <c r="P164" s="34"/>
      <c r="Q164" s="34"/>
      <c r="R164" s="34"/>
      <c r="S164" s="57"/>
      <c r="T164" s="57"/>
      <c r="U164" s="34"/>
      <c r="V164" s="34"/>
      <c r="W164" s="60"/>
    </row>
    <row r="165" spans="2:23" ht="12.75">
      <c r="B165" s="53">
        <v>38</v>
      </c>
      <c r="C165" s="54" t="s">
        <v>45</v>
      </c>
      <c r="D165" s="54"/>
      <c r="E165" s="54"/>
      <c r="F165" s="54"/>
      <c r="G165" s="54"/>
      <c r="H165" s="54"/>
      <c r="I165" s="54"/>
      <c r="J165" s="77"/>
      <c r="K165" s="77"/>
      <c r="L165" s="55"/>
      <c r="M165" s="29"/>
      <c r="N165" s="56"/>
      <c r="O165" s="34" t="s">
        <v>147</v>
      </c>
      <c r="P165" s="34"/>
      <c r="Q165" s="34"/>
      <c r="R165" s="34"/>
      <c r="S165" s="57"/>
      <c r="T165" s="34" t="s">
        <v>6</v>
      </c>
      <c r="U165" s="34">
        <f>SUM(P125:P164)</f>
        <v>14</v>
      </c>
      <c r="V165" s="34">
        <f>SUM(Q125:Q165)</f>
        <v>12</v>
      </c>
      <c r="W165" s="60">
        <f>SUM(R125:R165)</f>
        <v>0</v>
      </c>
    </row>
    <row r="166" spans="2:23" ht="13.5" thickBot="1">
      <c r="B166" s="53">
        <v>39</v>
      </c>
      <c r="C166" s="54"/>
      <c r="D166" s="54"/>
      <c r="E166" s="54"/>
      <c r="F166" s="54"/>
      <c r="G166" s="54"/>
      <c r="H166" s="54"/>
      <c r="I166" s="24"/>
      <c r="J166" s="35"/>
      <c r="K166" s="77"/>
      <c r="L166" s="55"/>
      <c r="M166" s="29"/>
      <c r="N166" s="331" t="s">
        <v>94</v>
      </c>
      <c r="O166" s="332"/>
      <c r="P166" s="332"/>
      <c r="Q166" s="332"/>
      <c r="R166" s="332"/>
      <c r="S166" s="332"/>
      <c r="T166" s="332"/>
      <c r="U166" s="332"/>
      <c r="V166" s="332"/>
      <c r="W166" s="333"/>
    </row>
    <row r="167" spans="2:23" ht="12.75">
      <c r="B167" s="98"/>
      <c r="C167" s="97"/>
      <c r="D167" s="97"/>
      <c r="E167" s="97"/>
      <c r="F167" s="54"/>
      <c r="G167" s="54"/>
      <c r="H167" s="54"/>
      <c r="I167" s="24"/>
      <c r="J167" s="24"/>
      <c r="K167" s="24"/>
      <c r="L167" s="23"/>
      <c r="M167" s="29"/>
      <c r="N167" s="21"/>
      <c r="O167" s="21"/>
      <c r="P167" s="21"/>
      <c r="Q167" s="21"/>
      <c r="R167" s="21"/>
      <c r="S167" s="21"/>
      <c r="T167" s="21"/>
      <c r="U167" s="21"/>
      <c r="V167" s="21"/>
      <c r="W167" s="21"/>
    </row>
    <row r="168" spans="2:23" ht="12.75">
      <c r="B168" s="53"/>
      <c r="C168" s="54"/>
      <c r="D168" s="54"/>
      <c r="E168" s="54"/>
      <c r="F168" s="54"/>
      <c r="G168" s="54"/>
      <c r="H168" s="54"/>
      <c r="I168" s="24"/>
      <c r="J168" s="24"/>
      <c r="K168" s="54"/>
      <c r="L168" s="55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</row>
    <row r="169" spans="2:23" ht="12.75">
      <c r="B169" s="53">
        <v>40</v>
      </c>
      <c r="C169" s="54" t="s">
        <v>92</v>
      </c>
      <c r="D169" s="54"/>
      <c r="E169" s="54"/>
      <c r="F169" s="54"/>
      <c r="G169" s="54"/>
      <c r="H169" s="54"/>
      <c r="I169" s="24"/>
      <c r="J169" s="24"/>
      <c r="K169" s="54"/>
      <c r="L169" s="55"/>
      <c r="M169" s="29"/>
      <c r="N169" s="21"/>
      <c r="O169" s="21"/>
      <c r="P169" s="21"/>
      <c r="Q169" s="21"/>
      <c r="R169" s="21"/>
      <c r="S169" s="21"/>
      <c r="T169" s="21"/>
      <c r="U169" s="21"/>
      <c r="V169" s="21"/>
      <c r="W169" s="21"/>
    </row>
    <row r="170" spans="2:23" ht="12.75">
      <c r="B170" s="53">
        <v>41</v>
      </c>
      <c r="C170" s="54" t="s">
        <v>93</v>
      </c>
      <c r="D170" s="54"/>
      <c r="E170" s="54"/>
      <c r="F170" s="54"/>
      <c r="G170" s="54"/>
      <c r="H170" s="54"/>
      <c r="I170" s="24"/>
      <c r="J170" s="24"/>
      <c r="K170" s="54"/>
      <c r="L170" s="55"/>
      <c r="M170" s="29"/>
      <c r="N170" s="21"/>
      <c r="O170" s="32"/>
      <c r="P170" s="21"/>
      <c r="Q170" s="21"/>
      <c r="R170" s="21"/>
      <c r="S170" s="21"/>
      <c r="T170" s="21"/>
      <c r="U170" s="21"/>
      <c r="V170" s="21"/>
      <c r="W170" s="21"/>
    </row>
    <row r="171" spans="2:23" ht="12.75">
      <c r="B171" s="36"/>
      <c r="C171" s="54"/>
      <c r="D171" s="54"/>
      <c r="E171" s="54"/>
      <c r="F171" s="54"/>
      <c r="G171" s="54"/>
      <c r="H171" s="54"/>
      <c r="I171" s="54"/>
      <c r="J171" s="54"/>
      <c r="K171" s="54"/>
      <c r="L171" s="55"/>
      <c r="M171" s="29"/>
      <c r="N171" s="21"/>
      <c r="O171" s="21"/>
      <c r="P171" s="21"/>
      <c r="Q171" s="21"/>
      <c r="R171" s="21"/>
      <c r="S171" s="21"/>
      <c r="T171" s="21"/>
      <c r="U171" s="21"/>
      <c r="V171" s="21"/>
      <c r="W171" s="21"/>
    </row>
    <row r="172" spans="2:23" ht="13.5" thickBot="1">
      <c r="B172" s="331" t="s">
        <v>126</v>
      </c>
      <c r="C172" s="332"/>
      <c r="D172" s="332"/>
      <c r="E172" s="332"/>
      <c r="F172" s="332"/>
      <c r="G172" s="332"/>
      <c r="H172" s="332"/>
      <c r="I172" s="332"/>
      <c r="J172" s="332"/>
      <c r="K172" s="332"/>
      <c r="L172" s="333"/>
      <c r="M172" s="29"/>
      <c r="N172" s="21"/>
      <c r="O172" s="21"/>
      <c r="P172" s="21"/>
      <c r="Q172" s="21"/>
      <c r="R172" s="21"/>
      <c r="S172" s="21"/>
      <c r="T172" s="21"/>
      <c r="U172" s="21"/>
      <c r="V172" s="21"/>
      <c r="W172" s="21"/>
    </row>
    <row r="173" spans="2:23" ht="12.75">
      <c r="B173" s="21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74"/>
      <c r="N173" s="21"/>
      <c r="O173" s="21"/>
      <c r="P173" s="21"/>
      <c r="Q173" s="21"/>
      <c r="R173" s="21"/>
      <c r="S173" s="21"/>
      <c r="T173" s="21"/>
      <c r="U173" s="21"/>
      <c r="V173" s="21"/>
      <c r="W173" s="21"/>
    </row>
    <row r="174" spans="2:23" ht="12.75">
      <c r="B174" s="21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74"/>
      <c r="N174" s="21"/>
      <c r="O174" s="21"/>
      <c r="P174" s="21"/>
      <c r="Q174" s="21"/>
      <c r="R174" s="21"/>
      <c r="S174" s="21"/>
      <c r="T174" s="21"/>
      <c r="U174" s="21"/>
      <c r="V174" s="21"/>
      <c r="W174" s="21"/>
    </row>
    <row r="175" spans="2:23" ht="12.75">
      <c r="B175" s="21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74"/>
      <c r="N175" s="21"/>
      <c r="O175" s="21"/>
      <c r="P175" s="21"/>
      <c r="Q175" s="21"/>
      <c r="R175" s="21"/>
      <c r="S175" s="21"/>
      <c r="T175" s="21"/>
      <c r="U175" s="21"/>
      <c r="V175" s="21"/>
      <c r="W175" s="21"/>
    </row>
    <row r="176" spans="2:23" ht="12.75">
      <c r="B176" s="21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74"/>
      <c r="N176" s="21"/>
      <c r="O176" s="21"/>
      <c r="P176" s="21"/>
      <c r="Q176" s="21"/>
      <c r="R176" s="21"/>
      <c r="S176" s="21"/>
      <c r="T176" s="21"/>
      <c r="U176" s="21"/>
      <c r="V176" s="21"/>
      <c r="W176" s="21"/>
    </row>
    <row r="177" spans="2:23" ht="12.75">
      <c r="B177" s="21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74"/>
      <c r="N177" s="21"/>
      <c r="O177" s="21"/>
      <c r="P177" s="21"/>
      <c r="Q177" s="21"/>
      <c r="R177" s="21"/>
      <c r="S177" s="21"/>
      <c r="T177" s="21"/>
      <c r="U177" s="21"/>
      <c r="V177" s="21"/>
      <c r="W177" s="21"/>
    </row>
    <row r="178" spans="2:23" ht="12.75">
      <c r="B178" s="21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74"/>
      <c r="N178" s="21"/>
      <c r="O178" s="21"/>
      <c r="P178" s="21"/>
      <c r="Q178" s="21"/>
      <c r="R178" s="21"/>
      <c r="S178" s="21"/>
      <c r="T178" s="21"/>
      <c r="U178" s="21"/>
      <c r="V178" s="21"/>
      <c r="W178" s="21"/>
    </row>
    <row r="179" spans="2:23" ht="12.75">
      <c r="B179" s="21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74"/>
      <c r="N179" s="21"/>
      <c r="O179" s="21"/>
      <c r="P179" s="21"/>
      <c r="Q179" s="21"/>
      <c r="R179" s="21"/>
      <c r="S179" s="21"/>
      <c r="T179" s="21"/>
      <c r="U179" s="21"/>
      <c r="V179" s="21"/>
      <c r="W179" s="21"/>
    </row>
    <row r="180" spans="2:23" ht="12.75">
      <c r="B180" s="21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74"/>
      <c r="N180" s="21"/>
      <c r="O180" s="21"/>
      <c r="P180" s="21"/>
      <c r="Q180" s="21"/>
      <c r="R180" s="21"/>
      <c r="S180" s="21"/>
      <c r="T180" s="21"/>
      <c r="U180" s="21"/>
      <c r="V180" s="21"/>
      <c r="W180" s="21"/>
    </row>
    <row r="181" spans="2:23" ht="12.75">
      <c r="B181" s="21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74"/>
      <c r="N181" s="21"/>
      <c r="O181" s="21"/>
      <c r="P181" s="21"/>
      <c r="Q181" s="21"/>
      <c r="R181" s="21"/>
      <c r="S181" s="21"/>
      <c r="T181" s="21"/>
      <c r="U181" s="21"/>
      <c r="V181" s="21"/>
      <c r="W181" s="21"/>
    </row>
    <row r="182" spans="2:23" ht="12.75">
      <c r="B182" s="21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74"/>
      <c r="N182" s="21"/>
      <c r="O182" s="21"/>
      <c r="P182" s="21"/>
      <c r="Q182" s="21"/>
      <c r="R182" s="21"/>
      <c r="S182" s="21"/>
      <c r="T182" s="21"/>
      <c r="U182" s="21"/>
      <c r="V182" s="21"/>
      <c r="W182" s="21"/>
    </row>
    <row r="183" spans="2:23" ht="12.75">
      <c r="B183" s="21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74"/>
      <c r="N183" s="21"/>
      <c r="O183" s="21"/>
      <c r="P183" s="21"/>
      <c r="Q183" s="21"/>
      <c r="R183" s="21"/>
      <c r="S183" s="21"/>
      <c r="T183" s="21"/>
      <c r="U183" s="21"/>
      <c r="V183" s="21"/>
      <c r="W183" s="21"/>
    </row>
    <row r="184" spans="2:23" ht="12.75">
      <c r="B184" s="21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1"/>
      <c r="O184" s="21"/>
      <c r="P184" s="21"/>
      <c r="Q184" s="21"/>
      <c r="R184" s="21"/>
      <c r="S184" s="80"/>
      <c r="T184" s="21"/>
      <c r="U184" s="21"/>
      <c r="V184" s="21"/>
      <c r="W184" s="21"/>
    </row>
    <row r="185" spans="2:23" ht="12.75">
      <c r="B185" s="21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1"/>
      <c r="O185" s="21"/>
      <c r="P185" s="21"/>
      <c r="Q185" s="21"/>
      <c r="R185" s="21"/>
      <c r="S185" s="21"/>
      <c r="T185" s="21"/>
      <c r="U185" s="21"/>
      <c r="V185" s="21"/>
      <c r="W185" s="21"/>
    </row>
    <row r="186" spans="2:23" ht="12.75">
      <c r="B186" s="21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1"/>
      <c r="O186" s="21"/>
      <c r="P186" s="21"/>
      <c r="Q186" s="21"/>
      <c r="R186" s="21"/>
      <c r="S186" s="21"/>
      <c r="T186" s="21"/>
      <c r="U186" s="21"/>
      <c r="V186" s="21"/>
      <c r="W186" s="21"/>
    </row>
    <row r="187" spans="2:23" ht="13.5" thickBot="1">
      <c r="B187" s="21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1"/>
      <c r="O187" s="21"/>
      <c r="P187" s="21"/>
      <c r="Q187" s="21"/>
      <c r="R187" s="21"/>
      <c r="S187" s="21"/>
      <c r="T187" s="21"/>
      <c r="U187" s="21"/>
      <c r="V187" s="21"/>
      <c r="W187" s="21"/>
    </row>
    <row r="188" spans="2:23" ht="12.75">
      <c r="B188" s="334" t="s">
        <v>285</v>
      </c>
      <c r="C188" s="335"/>
      <c r="D188" s="335"/>
      <c r="E188" s="335"/>
      <c r="F188" s="335"/>
      <c r="G188" s="335"/>
      <c r="H188" s="335"/>
      <c r="I188" s="335"/>
      <c r="J188" s="335"/>
      <c r="K188" s="335"/>
      <c r="L188" s="336"/>
      <c r="M188" s="21"/>
      <c r="N188" s="321" t="s">
        <v>286</v>
      </c>
      <c r="O188" s="322"/>
      <c r="P188" s="322"/>
      <c r="Q188" s="322"/>
      <c r="R188" s="322"/>
      <c r="S188" s="322"/>
      <c r="T188" s="322"/>
      <c r="U188" s="322"/>
      <c r="V188" s="322"/>
      <c r="W188" s="327"/>
    </row>
    <row r="189" spans="2:23" ht="12.75">
      <c r="B189" s="81" t="s">
        <v>58</v>
      </c>
      <c r="C189" s="34" t="s">
        <v>9</v>
      </c>
      <c r="D189" s="34" t="s">
        <v>10</v>
      </c>
      <c r="E189" s="34" t="s">
        <v>11</v>
      </c>
      <c r="F189" s="55" t="s">
        <v>129</v>
      </c>
      <c r="G189" s="34" t="s">
        <v>60</v>
      </c>
      <c r="H189" s="34" t="s">
        <v>9</v>
      </c>
      <c r="I189" s="34" t="s">
        <v>10</v>
      </c>
      <c r="J189" s="34" t="s">
        <v>10</v>
      </c>
      <c r="K189" s="34" t="s">
        <v>11</v>
      </c>
      <c r="L189" s="55" t="s">
        <v>129</v>
      </c>
      <c r="M189" s="82"/>
      <c r="N189" s="56" t="s">
        <v>60</v>
      </c>
      <c r="O189" s="57" t="s">
        <v>9</v>
      </c>
      <c r="P189" s="57" t="s">
        <v>10</v>
      </c>
      <c r="Q189" s="57" t="s">
        <v>11</v>
      </c>
      <c r="R189" s="34" t="s">
        <v>61</v>
      </c>
      <c r="S189" s="57" t="s">
        <v>60</v>
      </c>
      <c r="T189" s="57" t="s">
        <v>9</v>
      </c>
      <c r="U189" s="57" t="s">
        <v>10</v>
      </c>
      <c r="V189" s="57" t="s">
        <v>11</v>
      </c>
      <c r="W189" s="55" t="s">
        <v>129</v>
      </c>
    </row>
    <row r="190" spans="2:23" ht="12.75">
      <c r="B190" s="81">
        <v>1</v>
      </c>
      <c r="C190" s="34" t="s">
        <v>14</v>
      </c>
      <c r="D190" s="34"/>
      <c r="E190" s="34"/>
      <c r="F190" s="84"/>
      <c r="G190" s="34">
        <v>42</v>
      </c>
      <c r="H190" s="34" t="s">
        <v>63</v>
      </c>
      <c r="I190" s="24"/>
      <c r="J190" s="24"/>
      <c r="K190" s="34"/>
      <c r="L190" s="60"/>
      <c r="M190" s="32"/>
      <c r="N190" s="56">
        <v>1</v>
      </c>
      <c r="O190" s="57" t="s">
        <v>167</v>
      </c>
      <c r="P190" s="57"/>
      <c r="Q190" s="34"/>
      <c r="R190" s="58"/>
      <c r="S190" s="57">
        <v>42</v>
      </c>
      <c r="T190" s="57"/>
      <c r="U190" s="34"/>
      <c r="V190" s="34"/>
      <c r="W190" s="23"/>
    </row>
    <row r="191" spans="2:23" ht="12.75">
      <c r="B191" s="81">
        <v>2</v>
      </c>
      <c r="C191" s="34" t="s">
        <v>15</v>
      </c>
      <c r="D191" s="34"/>
      <c r="E191" s="97"/>
      <c r="F191" s="99"/>
      <c r="G191" s="34">
        <v>43</v>
      </c>
      <c r="H191" s="34" t="s">
        <v>64</v>
      </c>
      <c r="I191" s="24"/>
      <c r="J191" s="24"/>
      <c r="K191" s="34"/>
      <c r="L191" s="60"/>
      <c r="M191" s="84"/>
      <c r="N191" s="56">
        <v>2</v>
      </c>
      <c r="O191" s="57" t="s">
        <v>140</v>
      </c>
      <c r="P191" s="57"/>
      <c r="Q191" s="97"/>
      <c r="R191" s="58"/>
      <c r="S191" s="57">
        <v>43</v>
      </c>
      <c r="T191" s="57"/>
      <c r="U191" s="34"/>
      <c r="V191" s="34"/>
      <c r="W191" s="60"/>
    </row>
    <row r="192" spans="2:23" ht="12.75">
      <c r="B192" s="81">
        <v>3</v>
      </c>
      <c r="C192" s="34" t="s">
        <v>16</v>
      </c>
      <c r="D192" s="34"/>
      <c r="E192" s="97"/>
      <c r="F192" s="99">
        <v>2</v>
      </c>
      <c r="G192" s="34">
        <v>44</v>
      </c>
      <c r="H192" s="34" t="s">
        <v>65</v>
      </c>
      <c r="I192" s="24"/>
      <c r="J192" s="24"/>
      <c r="K192" s="34"/>
      <c r="L192" s="60"/>
      <c r="M192" s="84"/>
      <c r="N192" s="56">
        <v>3</v>
      </c>
      <c r="O192" s="57" t="s">
        <v>192</v>
      </c>
      <c r="P192" s="57"/>
      <c r="Q192" s="57"/>
      <c r="R192" s="57"/>
      <c r="S192" s="57">
        <v>44</v>
      </c>
      <c r="T192" s="57"/>
      <c r="U192" s="34"/>
      <c r="V192" s="34"/>
      <c r="W192" s="60"/>
    </row>
    <row r="193" spans="2:23" ht="12.75">
      <c r="B193" s="81">
        <v>4</v>
      </c>
      <c r="C193" s="34" t="s">
        <v>17</v>
      </c>
      <c r="D193" s="34"/>
      <c r="E193" s="97"/>
      <c r="F193" s="99"/>
      <c r="G193" s="34">
        <v>45</v>
      </c>
      <c r="H193" s="34" t="s">
        <v>66</v>
      </c>
      <c r="I193" s="24"/>
      <c r="J193" s="34"/>
      <c r="K193" s="34"/>
      <c r="L193" s="60"/>
      <c r="M193" s="84"/>
      <c r="N193" s="56">
        <v>4</v>
      </c>
      <c r="O193" s="57" t="s">
        <v>144</v>
      </c>
      <c r="P193" s="57"/>
      <c r="Q193" s="57"/>
      <c r="R193" s="57"/>
      <c r="S193" s="57">
        <v>45</v>
      </c>
      <c r="T193" s="57"/>
      <c r="U193" s="34"/>
      <c r="V193" s="34"/>
      <c r="W193" s="60"/>
    </row>
    <row r="194" spans="2:23" ht="12.75">
      <c r="B194" s="81">
        <v>5</v>
      </c>
      <c r="C194" s="34" t="s">
        <v>18</v>
      </c>
      <c r="D194" s="34"/>
      <c r="E194" s="97"/>
      <c r="F194" s="99"/>
      <c r="G194" s="34">
        <v>46</v>
      </c>
      <c r="H194" s="34" t="s">
        <v>67</v>
      </c>
      <c r="I194" s="24"/>
      <c r="J194" s="34"/>
      <c r="K194" s="34"/>
      <c r="L194" s="60"/>
      <c r="M194" s="84"/>
      <c r="N194" s="56">
        <v>5</v>
      </c>
      <c r="O194" s="57" t="s">
        <v>149</v>
      </c>
      <c r="P194" s="57"/>
      <c r="Q194" s="57"/>
      <c r="R194" s="57"/>
      <c r="S194" s="57">
        <v>46</v>
      </c>
      <c r="T194" s="57"/>
      <c r="U194" s="34"/>
      <c r="V194" s="34"/>
      <c r="W194" s="60"/>
    </row>
    <row r="195" spans="2:23" ht="12.75">
      <c r="B195" s="81">
        <v>6</v>
      </c>
      <c r="C195" s="34" t="s">
        <v>19</v>
      </c>
      <c r="D195" s="34"/>
      <c r="E195" s="34"/>
      <c r="F195" s="99">
        <v>4</v>
      </c>
      <c r="G195" s="34">
        <v>47</v>
      </c>
      <c r="H195" s="34" t="s">
        <v>68</v>
      </c>
      <c r="I195" s="24"/>
      <c r="J195" s="34"/>
      <c r="K195" s="34"/>
      <c r="L195" s="60"/>
      <c r="M195" s="84"/>
      <c r="N195" s="56">
        <v>6</v>
      </c>
      <c r="O195" s="57" t="s">
        <v>139</v>
      </c>
      <c r="P195" s="57"/>
      <c r="Q195" s="57"/>
      <c r="R195" s="57"/>
      <c r="S195" s="57">
        <v>47</v>
      </c>
      <c r="T195" s="57"/>
      <c r="U195" s="34"/>
      <c r="V195" s="34"/>
      <c r="W195" s="60"/>
    </row>
    <row r="196" spans="2:23" ht="12.75">
      <c r="B196" s="81">
        <v>7</v>
      </c>
      <c r="C196" s="34" t="s">
        <v>20</v>
      </c>
      <c r="D196" s="34"/>
      <c r="E196" s="97"/>
      <c r="F196" s="99">
        <v>2</v>
      </c>
      <c r="G196" s="34">
        <v>48</v>
      </c>
      <c r="H196" s="34" t="s">
        <v>69</v>
      </c>
      <c r="I196" s="24"/>
      <c r="J196" s="34"/>
      <c r="K196" s="34"/>
      <c r="L196" s="60"/>
      <c r="M196" s="84"/>
      <c r="N196" s="56">
        <v>7</v>
      </c>
      <c r="O196" s="57" t="s">
        <v>145</v>
      </c>
      <c r="P196" s="57"/>
      <c r="Q196" s="57"/>
      <c r="R196" s="57"/>
      <c r="S196" s="57">
        <v>48</v>
      </c>
      <c r="T196" s="57"/>
      <c r="U196" s="34"/>
      <c r="V196" s="34"/>
      <c r="W196" s="60"/>
    </row>
    <row r="197" spans="2:23" ht="12.75">
      <c r="B197" s="81">
        <v>8</v>
      </c>
      <c r="C197" s="34" t="s">
        <v>21</v>
      </c>
      <c r="D197" s="34"/>
      <c r="E197" s="97"/>
      <c r="F197" s="99">
        <v>1858</v>
      </c>
      <c r="G197" s="34">
        <v>49</v>
      </c>
      <c r="H197" s="34" t="s">
        <v>47</v>
      </c>
      <c r="I197" s="34"/>
      <c r="J197" s="34"/>
      <c r="K197" s="34"/>
      <c r="L197" s="60"/>
      <c r="M197" s="84"/>
      <c r="N197" s="56">
        <v>8</v>
      </c>
      <c r="O197" s="57" t="s">
        <v>143</v>
      </c>
      <c r="P197" s="57"/>
      <c r="Q197" s="57"/>
      <c r="R197" s="57"/>
      <c r="S197" s="57">
        <v>49</v>
      </c>
      <c r="T197" s="57"/>
      <c r="U197" s="34"/>
      <c r="V197" s="34"/>
      <c r="W197" s="60"/>
    </row>
    <row r="198" spans="2:23" ht="12.75">
      <c r="B198" s="81">
        <v>9</v>
      </c>
      <c r="C198" s="34" t="s">
        <v>22</v>
      </c>
      <c r="D198" s="34"/>
      <c r="E198" s="97"/>
      <c r="F198" s="99">
        <v>3</v>
      </c>
      <c r="G198" s="34">
        <v>50</v>
      </c>
      <c r="H198" s="34" t="s">
        <v>48</v>
      </c>
      <c r="I198" s="24"/>
      <c r="J198" s="34"/>
      <c r="K198" s="34"/>
      <c r="L198" s="60"/>
      <c r="M198" s="84"/>
      <c r="N198" s="56">
        <v>9</v>
      </c>
      <c r="O198" s="57" t="s">
        <v>168</v>
      </c>
      <c r="P198" s="57"/>
      <c r="Q198" s="57"/>
      <c r="R198" s="57"/>
      <c r="S198" s="57">
        <v>50</v>
      </c>
      <c r="T198" s="57"/>
      <c r="U198" s="34"/>
      <c r="V198" s="34"/>
      <c r="W198" s="60"/>
    </row>
    <row r="199" spans="2:23" ht="12.75">
      <c r="B199" s="81">
        <v>10</v>
      </c>
      <c r="C199" s="34" t="s">
        <v>23</v>
      </c>
      <c r="D199" s="34"/>
      <c r="E199" s="97"/>
      <c r="F199" s="99"/>
      <c r="G199" s="34">
        <v>51</v>
      </c>
      <c r="H199" s="34" t="s">
        <v>49</v>
      </c>
      <c r="I199" s="24"/>
      <c r="J199" s="34"/>
      <c r="K199" s="34"/>
      <c r="L199" s="60"/>
      <c r="M199" s="84"/>
      <c r="N199" s="56">
        <v>10</v>
      </c>
      <c r="O199" s="57" t="s">
        <v>147</v>
      </c>
      <c r="P199" s="57"/>
      <c r="Q199" s="57"/>
      <c r="R199" s="57"/>
      <c r="S199" s="57">
        <v>51</v>
      </c>
      <c r="T199" s="57"/>
      <c r="U199" s="34"/>
      <c r="V199" s="34"/>
      <c r="W199" s="60"/>
    </row>
    <row r="200" spans="2:23" ht="12.75">
      <c r="B200" s="81">
        <v>11</v>
      </c>
      <c r="C200" s="34" t="s">
        <v>24</v>
      </c>
      <c r="D200" s="34"/>
      <c r="E200" s="97"/>
      <c r="F200" s="99"/>
      <c r="G200" s="34">
        <v>52</v>
      </c>
      <c r="H200" s="34" t="s">
        <v>70</v>
      </c>
      <c r="I200" s="24"/>
      <c r="J200" s="34"/>
      <c r="K200" s="34"/>
      <c r="L200" s="60"/>
      <c r="M200" s="84"/>
      <c r="N200" s="56">
        <v>11</v>
      </c>
      <c r="O200" s="57" t="s">
        <v>197</v>
      </c>
      <c r="P200" s="57"/>
      <c r="Q200" s="57"/>
      <c r="R200" s="57"/>
      <c r="S200" s="57">
        <v>52</v>
      </c>
      <c r="T200" s="57"/>
      <c r="U200" s="34"/>
      <c r="V200" s="34"/>
      <c r="W200" s="23"/>
    </row>
    <row r="201" spans="2:23" ht="12.75">
      <c r="B201" s="81">
        <v>12</v>
      </c>
      <c r="C201" s="34" t="s">
        <v>25</v>
      </c>
      <c r="D201" s="34"/>
      <c r="E201" s="101"/>
      <c r="F201" s="99"/>
      <c r="G201" s="97"/>
      <c r="H201" s="34"/>
      <c r="I201" s="24"/>
      <c r="J201" s="34"/>
      <c r="K201" s="34"/>
      <c r="L201" s="60"/>
      <c r="M201" s="84"/>
      <c r="N201" s="56">
        <v>12</v>
      </c>
      <c r="O201" s="57" t="s">
        <v>169</v>
      </c>
      <c r="P201" s="57"/>
      <c r="Q201" s="57"/>
      <c r="R201" s="57"/>
      <c r="S201" s="57">
        <v>53</v>
      </c>
      <c r="T201" s="57"/>
      <c r="U201" s="24"/>
      <c r="V201" s="24"/>
      <c r="W201" s="23"/>
    </row>
    <row r="202" spans="2:23" ht="12.75">
      <c r="B202" s="81">
        <v>13</v>
      </c>
      <c r="C202" s="34" t="s">
        <v>26</v>
      </c>
      <c r="D202" s="34"/>
      <c r="E202" s="97"/>
      <c r="F202" s="99">
        <v>2</v>
      </c>
      <c r="G202" s="97"/>
      <c r="H202" s="34"/>
      <c r="I202" s="24"/>
      <c r="J202" s="34"/>
      <c r="K202" s="34"/>
      <c r="L202" s="60"/>
      <c r="M202" s="84"/>
      <c r="N202" s="56">
        <v>13</v>
      </c>
      <c r="O202" s="57" t="s">
        <v>256</v>
      </c>
      <c r="P202" s="57"/>
      <c r="Q202" s="57"/>
      <c r="R202" s="57"/>
      <c r="S202" s="57">
        <v>54</v>
      </c>
      <c r="T202" s="57"/>
      <c r="U202" s="24"/>
      <c r="V202" s="24"/>
      <c r="W202" s="60"/>
    </row>
    <row r="203" spans="2:23" ht="12.75">
      <c r="B203" s="81">
        <v>14</v>
      </c>
      <c r="C203" s="34" t="s">
        <v>71</v>
      </c>
      <c r="D203" s="34"/>
      <c r="E203" s="97"/>
      <c r="F203" s="99"/>
      <c r="G203" s="34">
        <v>53</v>
      </c>
      <c r="H203" s="34" t="s">
        <v>72</v>
      </c>
      <c r="I203" s="24"/>
      <c r="J203" s="34"/>
      <c r="K203" s="34"/>
      <c r="L203" s="60"/>
      <c r="M203" s="84"/>
      <c r="N203" s="56">
        <v>14</v>
      </c>
      <c r="O203" s="57" t="s">
        <v>141</v>
      </c>
      <c r="P203" s="57"/>
      <c r="Q203" s="57"/>
      <c r="R203" s="57"/>
      <c r="S203" s="57">
        <v>55</v>
      </c>
      <c r="T203" s="57"/>
      <c r="U203" s="34"/>
      <c r="V203" s="34"/>
      <c r="W203" s="60"/>
    </row>
    <row r="204" spans="2:23" ht="12.75">
      <c r="B204" s="81">
        <v>15</v>
      </c>
      <c r="C204" s="34" t="s">
        <v>73</v>
      </c>
      <c r="D204" s="34"/>
      <c r="E204" s="97"/>
      <c r="F204" s="99"/>
      <c r="G204" s="34">
        <v>54</v>
      </c>
      <c r="H204" s="34" t="s">
        <v>74</v>
      </c>
      <c r="I204" s="24"/>
      <c r="J204" s="34"/>
      <c r="K204" s="34"/>
      <c r="L204" s="60"/>
      <c r="M204" s="84"/>
      <c r="N204" s="56">
        <v>15</v>
      </c>
      <c r="O204" s="57" t="s">
        <v>247</v>
      </c>
      <c r="P204" s="57"/>
      <c r="Q204" s="57"/>
      <c r="R204" s="57"/>
      <c r="S204" s="57">
        <v>56</v>
      </c>
      <c r="T204" s="57"/>
      <c r="U204" s="34"/>
      <c r="V204" s="34"/>
      <c r="W204" s="60"/>
    </row>
    <row r="205" spans="2:23" ht="12.75">
      <c r="B205" s="81">
        <v>16</v>
      </c>
      <c r="C205" s="34" t="s">
        <v>28</v>
      </c>
      <c r="D205" s="34"/>
      <c r="E205" s="97"/>
      <c r="F205" s="99"/>
      <c r="G205" s="34">
        <v>55</v>
      </c>
      <c r="H205" s="34" t="s">
        <v>50</v>
      </c>
      <c r="I205" s="34"/>
      <c r="J205" s="34"/>
      <c r="K205" s="97"/>
      <c r="L205" s="60"/>
      <c r="M205" s="84"/>
      <c r="N205" s="56">
        <v>16</v>
      </c>
      <c r="O205" s="57" t="s">
        <v>212</v>
      </c>
      <c r="P205" s="57"/>
      <c r="Q205" s="57"/>
      <c r="R205" s="57"/>
      <c r="S205" s="57">
        <v>57</v>
      </c>
      <c r="T205" s="57"/>
      <c r="U205" s="34"/>
      <c r="V205" s="34"/>
      <c r="W205" s="60"/>
    </row>
    <row r="206" spans="2:23" ht="12.75">
      <c r="B206" s="81">
        <v>17</v>
      </c>
      <c r="C206" s="34" t="s">
        <v>29</v>
      </c>
      <c r="D206" s="34"/>
      <c r="E206" s="97"/>
      <c r="F206" s="99"/>
      <c r="G206" s="34">
        <v>56</v>
      </c>
      <c r="H206" s="34" t="s">
        <v>76</v>
      </c>
      <c r="I206" s="24"/>
      <c r="J206" s="34"/>
      <c r="K206" s="97"/>
      <c r="L206" s="60">
        <v>2</v>
      </c>
      <c r="M206" s="84"/>
      <c r="N206" s="56">
        <v>17</v>
      </c>
      <c r="O206" s="57" t="s">
        <v>214</v>
      </c>
      <c r="P206" s="57"/>
      <c r="Q206" s="57"/>
      <c r="R206" s="57"/>
      <c r="S206" s="57">
        <v>58</v>
      </c>
      <c r="T206" s="57"/>
      <c r="U206" s="34"/>
      <c r="V206" s="34"/>
      <c r="W206" s="60"/>
    </row>
    <row r="207" spans="2:23" ht="12.75">
      <c r="B207" s="81">
        <v>18</v>
      </c>
      <c r="C207" s="34" t="s">
        <v>30</v>
      </c>
      <c r="D207" s="34"/>
      <c r="E207" s="34"/>
      <c r="F207" s="99">
        <v>4</v>
      </c>
      <c r="G207" s="34">
        <v>57</v>
      </c>
      <c r="H207" s="34" t="s">
        <v>51</v>
      </c>
      <c r="I207" s="24"/>
      <c r="J207" s="34"/>
      <c r="K207" s="34"/>
      <c r="L207" s="60"/>
      <c r="M207" s="84"/>
      <c r="N207" s="56">
        <v>18</v>
      </c>
      <c r="O207" s="57" t="s">
        <v>163</v>
      </c>
      <c r="P207" s="57"/>
      <c r="Q207" s="57"/>
      <c r="R207" s="57">
        <v>1</v>
      </c>
      <c r="S207" s="57">
        <v>59</v>
      </c>
      <c r="T207" s="57"/>
      <c r="U207" s="34"/>
      <c r="V207" s="34"/>
      <c r="W207" s="60"/>
    </row>
    <row r="208" spans="2:23" ht="12.75">
      <c r="B208" s="81">
        <v>19</v>
      </c>
      <c r="C208" s="34" t="s">
        <v>31</v>
      </c>
      <c r="D208" s="34"/>
      <c r="E208" s="34"/>
      <c r="F208" s="99">
        <v>251</v>
      </c>
      <c r="G208" s="34">
        <v>58</v>
      </c>
      <c r="H208" s="34" t="s">
        <v>77</v>
      </c>
      <c r="I208" s="24"/>
      <c r="J208" s="34"/>
      <c r="K208" s="34"/>
      <c r="L208" s="60"/>
      <c r="M208" s="84"/>
      <c r="N208" s="56">
        <v>19</v>
      </c>
      <c r="O208" s="57"/>
      <c r="P208" s="57"/>
      <c r="Q208" s="57"/>
      <c r="R208" s="57"/>
      <c r="S208" s="57">
        <v>60</v>
      </c>
      <c r="T208" s="57"/>
      <c r="U208" s="34"/>
      <c r="V208" s="34"/>
      <c r="W208" s="60"/>
    </row>
    <row r="209" spans="2:23" ht="12.75">
      <c r="B209" s="81">
        <v>20</v>
      </c>
      <c r="C209" s="34" t="s">
        <v>32</v>
      </c>
      <c r="D209" s="34"/>
      <c r="E209" s="97"/>
      <c r="F209" s="99">
        <v>17</v>
      </c>
      <c r="G209" s="34">
        <v>59</v>
      </c>
      <c r="H209" s="34" t="s">
        <v>75</v>
      </c>
      <c r="I209" s="24"/>
      <c r="J209" s="34"/>
      <c r="K209" s="97"/>
      <c r="L209" s="60"/>
      <c r="M209" s="84"/>
      <c r="N209" s="56">
        <v>20</v>
      </c>
      <c r="O209" s="57"/>
      <c r="P209" s="57"/>
      <c r="Q209" s="57"/>
      <c r="R209" s="57"/>
      <c r="S209" s="57">
        <v>61</v>
      </c>
      <c r="T209" s="57"/>
      <c r="U209" s="34"/>
      <c r="V209" s="34"/>
      <c r="W209" s="60"/>
    </row>
    <row r="210" spans="2:23" ht="12.75">
      <c r="B210" s="81">
        <v>21</v>
      </c>
      <c r="C210" s="34" t="s">
        <v>33</v>
      </c>
      <c r="D210" s="34"/>
      <c r="E210" s="97"/>
      <c r="F210" s="99"/>
      <c r="G210" s="34">
        <v>60</v>
      </c>
      <c r="H210" s="34" t="s">
        <v>53</v>
      </c>
      <c r="I210" s="24"/>
      <c r="J210" s="34"/>
      <c r="K210" s="97"/>
      <c r="L210" s="60"/>
      <c r="M210" s="84"/>
      <c r="N210" s="56">
        <v>21</v>
      </c>
      <c r="O210" s="57"/>
      <c r="P210" s="57"/>
      <c r="Q210" s="57"/>
      <c r="R210" s="57"/>
      <c r="S210" s="57">
        <v>62</v>
      </c>
      <c r="T210" s="57"/>
      <c r="U210" s="34"/>
      <c r="V210" s="34"/>
      <c r="W210" s="60"/>
    </row>
    <row r="211" spans="2:23" ht="12.75">
      <c r="B211" s="81">
        <v>22</v>
      </c>
      <c r="C211" s="34" t="s">
        <v>34</v>
      </c>
      <c r="D211" s="34"/>
      <c r="E211" s="97"/>
      <c r="F211" s="99">
        <v>1</v>
      </c>
      <c r="G211" s="34">
        <v>61</v>
      </c>
      <c r="H211" s="34" t="s">
        <v>78</v>
      </c>
      <c r="I211" s="24"/>
      <c r="J211" s="34"/>
      <c r="K211" s="97"/>
      <c r="L211" s="60">
        <v>1</v>
      </c>
      <c r="M211" s="84"/>
      <c r="N211" s="56">
        <v>22</v>
      </c>
      <c r="O211" s="57"/>
      <c r="P211" s="57"/>
      <c r="Q211" s="57"/>
      <c r="R211" s="57"/>
      <c r="S211" s="57">
        <v>63</v>
      </c>
      <c r="T211" s="57"/>
      <c r="U211" s="34"/>
      <c r="V211" s="34"/>
      <c r="W211" s="60"/>
    </row>
    <row r="212" spans="2:23" ht="12.75">
      <c r="B212" s="81">
        <v>23</v>
      </c>
      <c r="C212" s="34" t="s">
        <v>79</v>
      </c>
      <c r="D212" s="34"/>
      <c r="E212" s="97"/>
      <c r="F212" s="99">
        <v>1</v>
      </c>
      <c r="G212" s="91">
        <v>62</v>
      </c>
      <c r="H212" s="34"/>
      <c r="I212" s="24"/>
      <c r="J212" s="34"/>
      <c r="K212" s="97"/>
      <c r="L212" s="60"/>
      <c r="M212" s="84"/>
      <c r="N212" s="56">
        <v>23</v>
      </c>
      <c r="O212" s="57"/>
      <c r="P212" s="57"/>
      <c r="Q212" s="57"/>
      <c r="R212" s="57"/>
      <c r="S212" s="57">
        <v>64</v>
      </c>
      <c r="T212" s="57"/>
      <c r="U212" s="34"/>
      <c r="V212" s="34"/>
      <c r="W212" s="60"/>
    </row>
    <row r="213" spans="2:23" ht="12.75">
      <c r="B213" s="81">
        <v>24</v>
      </c>
      <c r="C213" s="34" t="s">
        <v>80</v>
      </c>
      <c r="D213" s="34"/>
      <c r="E213" s="97"/>
      <c r="F213" s="99"/>
      <c r="G213" s="34"/>
      <c r="H213" s="34"/>
      <c r="I213" s="24"/>
      <c r="J213" s="34"/>
      <c r="K213" s="97"/>
      <c r="L213" s="60"/>
      <c r="M213" s="84"/>
      <c r="N213" s="56">
        <v>24</v>
      </c>
      <c r="O213" s="57"/>
      <c r="P213" s="57"/>
      <c r="Q213" s="57"/>
      <c r="R213" s="57"/>
      <c r="S213" s="57">
        <v>65</v>
      </c>
      <c r="T213" s="57"/>
      <c r="U213" s="34"/>
      <c r="V213" s="34"/>
      <c r="W213" s="60"/>
    </row>
    <row r="214" spans="2:23" ht="12.75">
      <c r="B214" s="81">
        <v>25</v>
      </c>
      <c r="C214" s="34" t="s">
        <v>81</v>
      </c>
      <c r="D214" s="34"/>
      <c r="E214" s="97"/>
      <c r="F214" s="99"/>
      <c r="G214" s="34"/>
      <c r="H214" s="34"/>
      <c r="I214" s="24"/>
      <c r="J214" s="34"/>
      <c r="K214" s="97"/>
      <c r="L214" s="60"/>
      <c r="M214" s="84"/>
      <c r="N214" s="56">
        <v>25</v>
      </c>
      <c r="O214" s="57"/>
      <c r="P214" s="57"/>
      <c r="Q214" s="57"/>
      <c r="R214" s="57"/>
      <c r="S214" s="57">
        <v>66</v>
      </c>
      <c r="T214" s="57"/>
      <c r="U214" s="34"/>
      <c r="V214" s="34"/>
      <c r="W214" s="60"/>
    </row>
    <row r="215" spans="2:23" ht="12.75">
      <c r="B215" s="81">
        <v>26</v>
      </c>
      <c r="C215" s="34" t="s">
        <v>35</v>
      </c>
      <c r="D215" s="34"/>
      <c r="E215" s="34"/>
      <c r="F215" s="99"/>
      <c r="G215" s="34"/>
      <c r="H215" s="34"/>
      <c r="I215" s="24"/>
      <c r="J215" s="34"/>
      <c r="K215" s="97"/>
      <c r="L215" s="60"/>
      <c r="M215" s="84"/>
      <c r="N215" s="56">
        <v>26</v>
      </c>
      <c r="O215" s="57"/>
      <c r="P215" s="57"/>
      <c r="Q215" s="57"/>
      <c r="R215" s="57"/>
      <c r="S215" s="57">
        <v>67</v>
      </c>
      <c r="T215" s="57"/>
      <c r="U215" s="34"/>
      <c r="V215" s="34"/>
      <c r="W215" s="60"/>
    </row>
    <row r="216" spans="2:23" ht="12.75">
      <c r="B216" s="81">
        <v>27</v>
      </c>
      <c r="C216" s="34" t="s">
        <v>36</v>
      </c>
      <c r="D216" s="34"/>
      <c r="E216" s="34"/>
      <c r="F216" s="34"/>
      <c r="G216" s="34">
        <v>62</v>
      </c>
      <c r="H216" s="34" t="s">
        <v>82</v>
      </c>
      <c r="I216" s="24"/>
      <c r="J216" s="34"/>
      <c r="K216" s="97"/>
      <c r="L216" s="60"/>
      <c r="M216" s="84"/>
      <c r="N216" s="56">
        <v>27</v>
      </c>
      <c r="O216" s="57"/>
      <c r="P216" s="57"/>
      <c r="Q216" s="57"/>
      <c r="R216" s="57"/>
      <c r="S216" s="57">
        <v>68</v>
      </c>
      <c r="T216" s="57"/>
      <c r="U216" s="34"/>
      <c r="V216" s="34"/>
      <c r="W216" s="60"/>
    </row>
    <row r="217" spans="2:23" ht="12.75">
      <c r="B217" s="81">
        <v>28</v>
      </c>
      <c r="C217" s="34" t="s">
        <v>37</v>
      </c>
      <c r="D217" s="34"/>
      <c r="E217" s="34"/>
      <c r="F217" s="34"/>
      <c r="G217" s="34">
        <v>63</v>
      </c>
      <c r="H217" s="34" t="s">
        <v>83</v>
      </c>
      <c r="I217" s="34"/>
      <c r="J217" s="34"/>
      <c r="K217" s="97"/>
      <c r="L217" s="60"/>
      <c r="M217" s="84"/>
      <c r="N217" s="56">
        <v>28</v>
      </c>
      <c r="O217" s="57"/>
      <c r="P217" s="57"/>
      <c r="Q217" s="57"/>
      <c r="R217" s="57"/>
      <c r="S217" s="57">
        <v>69</v>
      </c>
      <c r="T217" s="57"/>
      <c r="U217" s="34"/>
      <c r="V217" s="34"/>
      <c r="W217" s="60"/>
    </row>
    <row r="218" spans="2:23" ht="12.75">
      <c r="B218" s="81">
        <v>29</v>
      </c>
      <c r="C218" s="34" t="s">
        <v>38</v>
      </c>
      <c r="D218" s="34"/>
      <c r="E218" s="34"/>
      <c r="F218" s="34"/>
      <c r="G218" s="34">
        <v>64</v>
      </c>
      <c r="H218" s="34" t="s">
        <v>84</v>
      </c>
      <c r="I218" s="24"/>
      <c r="J218" s="34"/>
      <c r="K218" s="34"/>
      <c r="L218" s="60"/>
      <c r="M218" s="84"/>
      <c r="N218" s="56">
        <v>29</v>
      </c>
      <c r="O218" s="57"/>
      <c r="P218" s="57"/>
      <c r="Q218" s="57"/>
      <c r="R218" s="57"/>
      <c r="S218" s="57">
        <v>70</v>
      </c>
      <c r="T218" s="57"/>
      <c r="U218" s="34"/>
      <c r="V218" s="34"/>
      <c r="W218" s="60"/>
    </row>
    <row r="219" spans="2:23" ht="12.75">
      <c r="B219" s="81">
        <v>30</v>
      </c>
      <c r="C219" s="34" t="s">
        <v>39</v>
      </c>
      <c r="D219" s="34"/>
      <c r="E219" s="34"/>
      <c r="F219" s="34"/>
      <c r="G219" s="34">
        <v>65</v>
      </c>
      <c r="H219" s="34" t="s">
        <v>85</v>
      </c>
      <c r="I219" s="24"/>
      <c r="J219" s="24"/>
      <c r="K219" s="34"/>
      <c r="L219" s="60"/>
      <c r="M219" s="84"/>
      <c r="N219" s="56">
        <v>30</v>
      </c>
      <c r="O219" s="57"/>
      <c r="P219" s="57"/>
      <c r="Q219" s="57"/>
      <c r="R219" s="57"/>
      <c r="S219" s="57">
        <v>71</v>
      </c>
      <c r="T219" s="57"/>
      <c r="U219" s="34"/>
      <c r="V219" s="34"/>
      <c r="W219" s="60"/>
    </row>
    <row r="220" spans="2:23" ht="12.75">
      <c r="B220" s="81">
        <v>31</v>
      </c>
      <c r="C220" s="34" t="s">
        <v>86</v>
      </c>
      <c r="D220" s="34"/>
      <c r="E220" s="34"/>
      <c r="F220" s="34"/>
      <c r="G220" s="34">
        <v>66</v>
      </c>
      <c r="H220" s="34" t="s">
        <v>87</v>
      </c>
      <c r="I220" s="24"/>
      <c r="J220" s="34"/>
      <c r="K220" s="34"/>
      <c r="L220" s="60"/>
      <c r="M220" s="84"/>
      <c r="N220" s="56">
        <v>31</v>
      </c>
      <c r="O220" s="57"/>
      <c r="P220" s="57"/>
      <c r="Q220" s="57"/>
      <c r="R220" s="57"/>
      <c r="S220" s="57">
        <v>72</v>
      </c>
      <c r="T220" s="57"/>
      <c r="U220" s="34"/>
      <c r="V220" s="34"/>
      <c r="W220" s="60"/>
    </row>
    <row r="221" spans="2:23" ht="12.75">
      <c r="B221" s="81">
        <v>32</v>
      </c>
      <c r="C221" s="34" t="s">
        <v>40</v>
      </c>
      <c r="D221" s="34"/>
      <c r="E221" s="34"/>
      <c r="F221" s="34"/>
      <c r="G221" s="34">
        <v>67</v>
      </c>
      <c r="H221" s="34" t="s">
        <v>88</v>
      </c>
      <c r="I221" s="24"/>
      <c r="J221" s="34"/>
      <c r="K221" s="34"/>
      <c r="L221" s="60"/>
      <c r="M221" s="84"/>
      <c r="N221" s="56">
        <v>32</v>
      </c>
      <c r="O221" s="34"/>
      <c r="P221" s="34"/>
      <c r="Q221" s="34"/>
      <c r="R221" s="34"/>
      <c r="S221" s="57">
        <v>73</v>
      </c>
      <c r="T221" s="57"/>
      <c r="U221" s="34"/>
      <c r="V221" s="34"/>
      <c r="W221" s="60"/>
    </row>
    <row r="222" spans="2:23" ht="12.75">
      <c r="B222" s="81"/>
      <c r="C222" s="34"/>
      <c r="D222" s="34"/>
      <c r="E222" s="34"/>
      <c r="F222" s="34"/>
      <c r="G222" s="34"/>
      <c r="H222" s="34"/>
      <c r="I222" s="24"/>
      <c r="J222" s="24"/>
      <c r="K222" s="34"/>
      <c r="L222" s="60"/>
      <c r="M222" s="84"/>
      <c r="N222" s="56">
        <v>33</v>
      </c>
      <c r="O222" s="34"/>
      <c r="P222" s="34"/>
      <c r="Q222" s="34"/>
      <c r="R222" s="34"/>
      <c r="S222" s="57">
        <v>74</v>
      </c>
      <c r="T222" s="57"/>
      <c r="U222" s="34"/>
      <c r="V222" s="34"/>
      <c r="W222" s="60"/>
    </row>
    <row r="223" spans="2:23" ht="12.75">
      <c r="B223" s="81"/>
      <c r="C223" s="34"/>
      <c r="D223" s="34"/>
      <c r="E223" s="34"/>
      <c r="F223" s="34"/>
      <c r="G223" s="34"/>
      <c r="H223" s="34"/>
      <c r="I223" s="24"/>
      <c r="J223" s="24"/>
      <c r="K223" s="34"/>
      <c r="L223" s="60"/>
      <c r="M223" s="84"/>
      <c r="N223" s="56">
        <v>34</v>
      </c>
      <c r="O223" s="34"/>
      <c r="P223" s="34"/>
      <c r="Q223" s="34"/>
      <c r="R223" s="34"/>
      <c r="S223" s="57">
        <v>75</v>
      </c>
      <c r="T223" s="57"/>
      <c r="U223" s="34"/>
      <c r="V223" s="34"/>
      <c r="W223" s="60"/>
    </row>
    <row r="224" spans="2:23" ht="12.75">
      <c r="B224" s="81"/>
      <c r="C224" s="32"/>
      <c r="D224" s="34"/>
      <c r="E224" s="34"/>
      <c r="F224" s="34"/>
      <c r="G224" s="34"/>
      <c r="H224" s="34"/>
      <c r="I224" s="24"/>
      <c r="J224" s="24"/>
      <c r="K224" s="34"/>
      <c r="L224" s="60"/>
      <c r="M224" s="84"/>
      <c r="N224" s="56">
        <v>35</v>
      </c>
      <c r="O224" s="34"/>
      <c r="P224" s="34"/>
      <c r="Q224" s="34"/>
      <c r="R224" s="34"/>
      <c r="S224" s="57">
        <v>76</v>
      </c>
      <c r="T224" s="57"/>
      <c r="U224" s="34"/>
      <c r="V224" s="34"/>
      <c r="W224" s="60"/>
    </row>
    <row r="225" spans="2:23" ht="12.75">
      <c r="B225" s="81">
        <v>33</v>
      </c>
      <c r="C225" s="34" t="s">
        <v>41</v>
      </c>
      <c r="D225" s="34"/>
      <c r="E225" s="34"/>
      <c r="F225" s="34"/>
      <c r="G225" s="34"/>
      <c r="H225" s="34"/>
      <c r="I225" s="24"/>
      <c r="J225" s="24"/>
      <c r="K225" s="34"/>
      <c r="L225" s="60"/>
      <c r="M225" s="84"/>
      <c r="N225" s="56">
        <v>36</v>
      </c>
      <c r="O225" s="34"/>
      <c r="P225" s="34"/>
      <c r="Q225" s="34"/>
      <c r="R225" s="34"/>
      <c r="S225" s="57">
        <v>77</v>
      </c>
      <c r="T225" s="57"/>
      <c r="U225" s="34"/>
      <c r="V225" s="34"/>
      <c r="W225" s="60"/>
    </row>
    <row r="226" spans="2:23" ht="12.75">
      <c r="B226" s="81">
        <v>34</v>
      </c>
      <c r="C226" s="34" t="s">
        <v>42</v>
      </c>
      <c r="D226" s="34"/>
      <c r="E226" s="34"/>
      <c r="F226" s="34"/>
      <c r="G226" s="34"/>
      <c r="H226" s="34" t="s">
        <v>89</v>
      </c>
      <c r="I226" s="34">
        <f>U231</f>
        <v>0</v>
      </c>
      <c r="J226" s="34">
        <f>U231</f>
        <v>0</v>
      </c>
      <c r="K226" s="34">
        <f>V231</f>
        <v>0</v>
      </c>
      <c r="L226" s="34">
        <f>W231</f>
        <v>1</v>
      </c>
      <c r="M226" s="84"/>
      <c r="N226" s="56">
        <v>37</v>
      </c>
      <c r="O226" s="34"/>
      <c r="P226" s="34"/>
      <c r="Q226" s="34"/>
      <c r="R226" s="34"/>
      <c r="S226" s="57">
        <v>78</v>
      </c>
      <c r="T226" s="57"/>
      <c r="U226" s="34"/>
      <c r="V226" s="34"/>
      <c r="W226" s="60"/>
    </row>
    <row r="227" spans="2:23" ht="12.75">
      <c r="B227" s="81">
        <v>35</v>
      </c>
      <c r="C227" s="34" t="s">
        <v>43</v>
      </c>
      <c r="D227" s="34"/>
      <c r="E227" s="34"/>
      <c r="F227" s="34"/>
      <c r="G227" s="34"/>
      <c r="H227" s="34" t="s">
        <v>55</v>
      </c>
      <c r="I227" s="84">
        <f>SUM(D190:D234,I191:I192,I190:I226)</f>
        <v>0</v>
      </c>
      <c r="J227" s="84">
        <f>SUM(D190:D234,J190:J226)</f>
        <v>0</v>
      </c>
      <c r="K227" s="34">
        <f>SUM(E190:E234,K190:K226)</f>
        <v>0</v>
      </c>
      <c r="L227" s="60">
        <f>SUM(F190:F234,L190:L226)</f>
        <v>2149</v>
      </c>
      <c r="M227" s="84"/>
      <c r="N227" s="56">
        <v>38</v>
      </c>
      <c r="O227" s="34"/>
      <c r="P227" s="34"/>
      <c r="Q227" s="34"/>
      <c r="R227" s="34"/>
      <c r="S227" s="57">
        <v>79</v>
      </c>
      <c r="T227" s="57"/>
      <c r="U227" s="34"/>
      <c r="V227" s="34"/>
      <c r="W227" s="60"/>
    </row>
    <row r="228" spans="2:23" ht="12.75">
      <c r="B228" s="81">
        <v>36</v>
      </c>
      <c r="C228" s="34" t="s">
        <v>90</v>
      </c>
      <c r="D228" s="34"/>
      <c r="E228" s="34"/>
      <c r="F228" s="34"/>
      <c r="G228" s="34"/>
      <c r="H228" s="34" t="s">
        <v>56</v>
      </c>
      <c r="I228" s="34">
        <v>33</v>
      </c>
      <c r="J228" s="34"/>
      <c r="K228" s="34"/>
      <c r="L228" s="60">
        <v>73</v>
      </c>
      <c r="M228" s="21"/>
      <c r="N228" s="56">
        <v>39</v>
      </c>
      <c r="O228" s="34"/>
      <c r="P228" s="34"/>
      <c r="Q228" s="34"/>
      <c r="R228" s="34"/>
      <c r="S228" s="57">
        <v>80</v>
      </c>
      <c r="T228" s="57"/>
      <c r="U228" s="34"/>
      <c r="V228" s="34"/>
      <c r="W228" s="60"/>
    </row>
    <row r="229" spans="2:23" ht="12.75">
      <c r="B229" s="81">
        <v>37</v>
      </c>
      <c r="C229" s="34" t="s">
        <v>44</v>
      </c>
      <c r="D229" s="34"/>
      <c r="E229" s="34"/>
      <c r="F229" s="34"/>
      <c r="G229" s="34"/>
      <c r="H229" s="34" t="s">
        <v>91</v>
      </c>
      <c r="I229" s="34">
        <f>SUM(I227:I228)</f>
        <v>33</v>
      </c>
      <c r="J229" s="34">
        <f>SUM(J227:J228)</f>
        <v>0</v>
      </c>
      <c r="K229" s="34">
        <f>SUM(K227:K228)</f>
        <v>0</v>
      </c>
      <c r="L229" s="34">
        <f>SUM(L227:L228)</f>
        <v>2222</v>
      </c>
      <c r="M229" s="21"/>
      <c r="N229" s="56">
        <v>40</v>
      </c>
      <c r="O229" s="34"/>
      <c r="P229" s="34"/>
      <c r="Q229" s="34"/>
      <c r="R229" s="34"/>
      <c r="S229" s="57">
        <v>81</v>
      </c>
      <c r="T229" s="57"/>
      <c r="U229" s="34"/>
      <c r="V229" s="34"/>
      <c r="W229" s="60"/>
    </row>
    <row r="230" spans="2:23" ht="12.75">
      <c r="B230" s="81">
        <v>38</v>
      </c>
      <c r="C230" s="34" t="s">
        <v>45</v>
      </c>
      <c r="D230" s="34"/>
      <c r="E230" s="34"/>
      <c r="F230" s="34"/>
      <c r="G230" s="34"/>
      <c r="H230" s="34"/>
      <c r="I230" s="24"/>
      <c r="J230" s="24"/>
      <c r="K230" s="34"/>
      <c r="L230" s="60"/>
      <c r="M230" s="21"/>
      <c r="N230" s="56">
        <v>41</v>
      </c>
      <c r="O230" s="34"/>
      <c r="P230" s="34"/>
      <c r="Q230" s="34"/>
      <c r="R230" s="34"/>
      <c r="S230" s="57"/>
      <c r="T230" s="24"/>
      <c r="U230" s="34"/>
      <c r="V230" s="34"/>
      <c r="W230" s="60"/>
    </row>
    <row r="231" spans="2:23" ht="12.75">
      <c r="B231" s="81">
        <v>39</v>
      </c>
      <c r="C231" s="34"/>
      <c r="D231" s="34"/>
      <c r="E231" s="34"/>
      <c r="F231" s="34"/>
      <c r="G231" s="34"/>
      <c r="H231" s="34"/>
      <c r="I231" s="34"/>
      <c r="J231" s="34"/>
      <c r="K231" s="34"/>
      <c r="L231" s="25"/>
      <c r="M231" s="84"/>
      <c r="N231" s="65"/>
      <c r="O231" s="66"/>
      <c r="P231" s="66"/>
      <c r="Q231" s="66"/>
      <c r="R231" s="66"/>
      <c r="S231" s="66"/>
      <c r="T231" s="34" t="s">
        <v>6</v>
      </c>
      <c r="U231" s="34">
        <f>SUM(P190:P230,U189:U229)</f>
        <v>0</v>
      </c>
      <c r="V231" s="34">
        <f>SUM(Q190:Q230,V189:V229)</f>
        <v>0</v>
      </c>
      <c r="W231" s="60">
        <f>SUM(R190:R230,W189:W229)</f>
        <v>1</v>
      </c>
    </row>
    <row r="232" spans="2:23" ht="13.5" thickBot="1">
      <c r="B232" s="81"/>
      <c r="C232" s="32"/>
      <c r="D232" s="34"/>
      <c r="E232" s="34"/>
      <c r="F232" s="34"/>
      <c r="G232" s="34"/>
      <c r="H232" s="34"/>
      <c r="I232" s="34"/>
      <c r="J232" s="34"/>
      <c r="K232" s="34"/>
      <c r="L232" s="60"/>
      <c r="M232" s="21"/>
      <c r="N232" s="328" t="s">
        <v>94</v>
      </c>
      <c r="O232" s="329"/>
      <c r="P232" s="329"/>
      <c r="Q232" s="329"/>
      <c r="R232" s="329"/>
      <c r="S232" s="329"/>
      <c r="T232" s="329"/>
      <c r="U232" s="329"/>
      <c r="V232" s="329"/>
      <c r="W232" s="330"/>
    </row>
    <row r="233" spans="2:23" ht="12.75">
      <c r="B233" s="81">
        <v>40</v>
      </c>
      <c r="C233" s="34" t="s">
        <v>92</v>
      </c>
      <c r="D233" s="34"/>
      <c r="E233" s="34"/>
      <c r="F233" s="34"/>
      <c r="G233" s="34"/>
      <c r="H233" s="34"/>
      <c r="I233" s="34"/>
      <c r="J233" s="34"/>
      <c r="K233" s="34"/>
      <c r="L233" s="60"/>
      <c r="M233" s="84"/>
      <c r="N233" s="21"/>
      <c r="O233" s="21"/>
      <c r="P233" s="21"/>
      <c r="Q233" s="21"/>
      <c r="R233" s="21"/>
      <c r="S233" s="21"/>
      <c r="T233" s="21"/>
      <c r="U233" s="21"/>
      <c r="V233" s="21"/>
      <c r="W233" s="21"/>
    </row>
    <row r="234" spans="2:23" ht="12.75">
      <c r="B234" s="81">
        <v>41</v>
      </c>
      <c r="C234" s="34" t="s">
        <v>93</v>
      </c>
      <c r="D234" s="34"/>
      <c r="E234" s="34"/>
      <c r="F234" s="34"/>
      <c r="G234" s="34"/>
      <c r="H234" s="34"/>
      <c r="I234" s="34"/>
      <c r="J234" s="34"/>
      <c r="K234" s="34"/>
      <c r="L234" s="60"/>
      <c r="M234" s="84"/>
      <c r="N234" s="21"/>
      <c r="O234" s="21"/>
      <c r="P234" s="21"/>
      <c r="Q234" s="21"/>
      <c r="R234" s="21"/>
      <c r="S234" s="21"/>
      <c r="T234" s="21"/>
      <c r="U234" s="21"/>
      <c r="V234" s="21"/>
      <c r="W234" s="21"/>
    </row>
    <row r="235" spans="2:23" ht="12.75">
      <c r="B235" s="81"/>
      <c r="C235" s="24"/>
      <c r="D235" s="34"/>
      <c r="E235" s="34"/>
      <c r="F235" s="34"/>
      <c r="G235" s="34"/>
      <c r="H235" s="34"/>
      <c r="I235" s="34"/>
      <c r="J235" s="34"/>
      <c r="K235" s="34"/>
      <c r="L235" s="60"/>
      <c r="M235" s="84"/>
      <c r="N235" s="21"/>
      <c r="O235" s="21"/>
      <c r="P235" s="21"/>
      <c r="Q235" s="21"/>
      <c r="R235" s="21"/>
      <c r="S235" s="21"/>
      <c r="T235" s="21"/>
      <c r="U235" s="21"/>
      <c r="V235" s="21"/>
      <c r="W235" s="21"/>
    </row>
    <row r="236" spans="2:23" ht="13.5" thickBot="1">
      <c r="B236" s="328" t="s">
        <v>94</v>
      </c>
      <c r="C236" s="329"/>
      <c r="D236" s="329"/>
      <c r="E236" s="329"/>
      <c r="F236" s="329"/>
      <c r="G236" s="329"/>
      <c r="H236" s="329"/>
      <c r="I236" s="329"/>
      <c r="J236" s="329"/>
      <c r="K236" s="329"/>
      <c r="L236" s="330"/>
      <c r="M236" s="84"/>
      <c r="N236" s="21"/>
      <c r="O236" s="21"/>
      <c r="P236" s="21"/>
      <c r="Q236" s="21"/>
      <c r="R236" s="21"/>
      <c r="S236" s="21"/>
      <c r="T236" s="21"/>
      <c r="U236" s="21"/>
      <c r="V236" s="21"/>
      <c r="W236" s="21"/>
    </row>
    <row r="237" spans="2:23" ht="12.75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82"/>
      <c r="N237" s="21"/>
      <c r="O237" s="21"/>
      <c r="P237" s="21"/>
      <c r="Q237" s="21"/>
      <c r="R237" s="21"/>
      <c r="S237" s="21"/>
      <c r="T237" s="21"/>
      <c r="U237" s="21"/>
      <c r="V237" s="21"/>
      <c r="W237" s="21"/>
    </row>
    <row r="238" spans="2:23" ht="12.75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82"/>
      <c r="N238" s="21"/>
      <c r="O238" s="21"/>
      <c r="P238" s="21"/>
      <c r="Q238" s="21"/>
      <c r="R238" s="21"/>
      <c r="S238" s="21"/>
      <c r="T238" s="21"/>
      <c r="U238" s="21"/>
      <c r="V238" s="21"/>
      <c r="W238" s="21"/>
    </row>
    <row r="239" spans="2:23" ht="12.75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82"/>
      <c r="N239" s="21"/>
      <c r="O239" s="21"/>
      <c r="P239" s="21"/>
      <c r="Q239" s="21"/>
      <c r="R239" s="21"/>
      <c r="S239" s="21"/>
      <c r="T239" s="21"/>
      <c r="U239" s="21"/>
      <c r="V239" s="21"/>
      <c r="W239" s="21"/>
    </row>
    <row r="240" spans="2:23" ht="12.75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82"/>
      <c r="N240" s="21"/>
      <c r="O240" s="21"/>
      <c r="P240" s="21"/>
      <c r="Q240" s="21"/>
      <c r="R240" s="21"/>
      <c r="S240" s="21"/>
      <c r="T240" s="21"/>
      <c r="U240" s="21"/>
      <c r="V240" s="21"/>
      <c r="W240" s="21"/>
    </row>
    <row r="241" spans="2:23" ht="12.7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82"/>
      <c r="N241" s="21"/>
      <c r="O241" s="21"/>
      <c r="P241" s="21"/>
      <c r="Q241" s="21"/>
      <c r="R241" s="21"/>
      <c r="S241" s="21"/>
      <c r="T241" s="21"/>
      <c r="U241" s="21"/>
      <c r="V241" s="21"/>
      <c r="W241" s="21"/>
    </row>
    <row r="242" spans="2:23" ht="12.75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82"/>
      <c r="N242" s="21"/>
      <c r="O242" s="21"/>
      <c r="P242" s="21"/>
      <c r="Q242" s="21"/>
      <c r="R242" s="21"/>
      <c r="S242" s="21"/>
      <c r="T242" s="21"/>
      <c r="U242" s="21"/>
      <c r="V242" s="21"/>
      <c r="W242" s="21"/>
    </row>
    <row r="243" spans="2:23" ht="12.75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82"/>
      <c r="N243" s="21"/>
      <c r="O243" s="21"/>
      <c r="P243" s="21"/>
      <c r="Q243" s="21"/>
      <c r="R243" s="21"/>
      <c r="S243" s="21"/>
      <c r="T243" s="21"/>
      <c r="U243" s="21"/>
      <c r="V243" s="21"/>
      <c r="W243" s="21"/>
    </row>
    <row r="244" spans="2:23" ht="12.75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82"/>
      <c r="N244" s="21"/>
      <c r="O244" s="21"/>
      <c r="P244" s="21"/>
      <c r="Q244" s="21"/>
      <c r="R244" s="21"/>
      <c r="S244" s="21"/>
      <c r="T244" s="21"/>
      <c r="U244" s="21"/>
      <c r="V244" s="21"/>
      <c r="W244" s="21"/>
    </row>
    <row r="245" spans="2:23" ht="12.75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82"/>
      <c r="N245" s="21"/>
      <c r="O245" s="21"/>
      <c r="P245" s="21"/>
      <c r="Q245" s="21"/>
      <c r="R245" s="21"/>
      <c r="S245" s="21"/>
      <c r="T245" s="21"/>
      <c r="U245" s="21"/>
      <c r="V245" s="21"/>
      <c r="W245" s="21"/>
    </row>
    <row r="246" spans="2:23" ht="12.75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82"/>
      <c r="N246" s="21"/>
      <c r="O246" s="21"/>
      <c r="P246" s="21"/>
      <c r="Q246" s="21"/>
      <c r="R246" s="21"/>
      <c r="S246" s="21"/>
      <c r="T246" s="21"/>
      <c r="U246" s="21"/>
      <c r="V246" s="21"/>
      <c r="W246" s="21"/>
    </row>
    <row r="247" spans="2:23" ht="12.75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82"/>
      <c r="N247" s="21"/>
      <c r="O247" s="21"/>
      <c r="P247" s="21"/>
      <c r="Q247" s="21"/>
      <c r="R247" s="21"/>
      <c r="S247" s="21"/>
      <c r="T247" s="21"/>
      <c r="U247" s="21"/>
      <c r="V247" s="21"/>
      <c r="W247" s="21"/>
    </row>
    <row r="248" spans="2:23" ht="12.75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82"/>
      <c r="N248" s="21"/>
      <c r="O248" s="21"/>
      <c r="P248" s="21"/>
      <c r="Q248" s="21"/>
      <c r="R248" s="21"/>
      <c r="S248" s="21"/>
      <c r="T248" s="21"/>
      <c r="U248" s="21"/>
      <c r="V248" s="21"/>
      <c r="W248" s="21"/>
    </row>
    <row r="249" spans="2:23" ht="12.75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</row>
    <row r="250" spans="2:23" ht="12.75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</row>
    <row r="251" spans="2:23" ht="13.5" thickBot="1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</row>
    <row r="252" spans="2:23" ht="12.75">
      <c r="B252" s="337" t="s">
        <v>287</v>
      </c>
      <c r="C252" s="338"/>
      <c r="D252" s="338"/>
      <c r="E252" s="338"/>
      <c r="F252" s="338"/>
      <c r="G252" s="338"/>
      <c r="H252" s="338"/>
      <c r="I252" s="338"/>
      <c r="J252" s="338"/>
      <c r="K252" s="338"/>
      <c r="L252" s="339"/>
      <c r="M252" s="21"/>
      <c r="N252" s="321" t="s">
        <v>288</v>
      </c>
      <c r="O252" s="322"/>
      <c r="P252" s="322"/>
      <c r="Q252" s="322"/>
      <c r="R252" s="322"/>
      <c r="S252" s="322"/>
      <c r="T252" s="322"/>
      <c r="U252" s="322"/>
      <c r="V252" s="322"/>
      <c r="W252" s="327"/>
    </row>
    <row r="253" spans="2:23" ht="12.75">
      <c r="B253" s="81" t="s">
        <v>58</v>
      </c>
      <c r="C253" s="34" t="s">
        <v>9</v>
      </c>
      <c r="D253" s="34" t="s">
        <v>10</v>
      </c>
      <c r="E253" s="34" t="s">
        <v>11</v>
      </c>
      <c r="F253" s="55" t="s">
        <v>129</v>
      </c>
      <c r="G253" s="34" t="s">
        <v>60</v>
      </c>
      <c r="H253" s="34" t="s">
        <v>9</v>
      </c>
      <c r="I253" s="34" t="s">
        <v>10</v>
      </c>
      <c r="J253" s="34" t="s">
        <v>10</v>
      </c>
      <c r="K253" s="34" t="s">
        <v>11</v>
      </c>
      <c r="L253" s="55" t="s">
        <v>129</v>
      </c>
      <c r="M253" s="82"/>
      <c r="N253" s="56" t="s">
        <v>60</v>
      </c>
      <c r="O253" s="57" t="s">
        <v>9</v>
      </c>
      <c r="P253" s="57" t="s">
        <v>10</v>
      </c>
      <c r="Q253" s="57" t="s">
        <v>11</v>
      </c>
      <c r="R253" s="34" t="s">
        <v>61</v>
      </c>
      <c r="S253" s="57" t="s">
        <v>60</v>
      </c>
      <c r="T253" s="57" t="s">
        <v>9</v>
      </c>
      <c r="U253" s="57" t="s">
        <v>10</v>
      </c>
      <c r="V253" s="57" t="s">
        <v>11</v>
      </c>
      <c r="W253" s="55" t="s">
        <v>129</v>
      </c>
    </row>
    <row r="254" spans="2:23" ht="12.75">
      <c r="B254" s="81">
        <v>1</v>
      </c>
      <c r="C254" s="34" t="s">
        <v>14</v>
      </c>
      <c r="D254" s="34"/>
      <c r="E254" s="83"/>
      <c r="F254" s="84"/>
      <c r="G254" s="34">
        <v>42</v>
      </c>
      <c r="H254" s="34" t="s">
        <v>63</v>
      </c>
      <c r="I254" s="24"/>
      <c r="J254" s="24"/>
      <c r="K254" s="34"/>
      <c r="L254" s="60"/>
      <c r="M254" s="32"/>
      <c r="N254" s="56">
        <v>1</v>
      </c>
      <c r="O254" s="57" t="s">
        <v>138</v>
      </c>
      <c r="P254" s="58">
        <v>11</v>
      </c>
      <c r="Q254" s="57">
        <v>2</v>
      </c>
      <c r="R254" s="57"/>
      <c r="S254" s="57">
        <v>42</v>
      </c>
      <c r="T254" s="57"/>
      <c r="U254" s="24"/>
      <c r="V254" s="24"/>
      <c r="W254" s="23"/>
    </row>
    <row r="255" spans="2:23" ht="12.75">
      <c r="B255" s="81">
        <v>2</v>
      </c>
      <c r="C255" s="34" t="s">
        <v>15</v>
      </c>
      <c r="D255" s="34"/>
      <c r="E255" s="34"/>
      <c r="F255" s="34"/>
      <c r="G255" s="34">
        <v>43</v>
      </c>
      <c r="H255" s="34" t="s">
        <v>64</v>
      </c>
      <c r="I255" s="24"/>
      <c r="J255" s="24"/>
      <c r="K255" s="34"/>
      <c r="L255" s="60"/>
      <c r="M255" s="84"/>
      <c r="N255" s="56">
        <v>2</v>
      </c>
      <c r="O255" s="57" t="s">
        <v>139</v>
      </c>
      <c r="P255" s="57">
        <v>10</v>
      </c>
      <c r="Q255" s="58">
        <v>11</v>
      </c>
      <c r="R255" s="57"/>
      <c r="S255" s="57">
        <v>43</v>
      </c>
      <c r="T255" s="57"/>
      <c r="U255" s="34"/>
      <c r="V255" s="34"/>
      <c r="W255" s="60"/>
    </row>
    <row r="256" spans="2:23" ht="12.75">
      <c r="B256" s="81">
        <v>3</v>
      </c>
      <c r="C256" s="34" t="s">
        <v>16</v>
      </c>
      <c r="D256" s="34"/>
      <c r="E256" s="34"/>
      <c r="F256" s="34"/>
      <c r="G256" s="34">
        <v>44</v>
      </c>
      <c r="H256" s="34" t="s">
        <v>65</v>
      </c>
      <c r="I256" s="24"/>
      <c r="J256" s="24"/>
      <c r="K256" s="34"/>
      <c r="L256" s="60"/>
      <c r="M256" s="84"/>
      <c r="N256" s="56">
        <v>3</v>
      </c>
      <c r="O256" s="57" t="s">
        <v>140</v>
      </c>
      <c r="P256" s="58">
        <v>4</v>
      </c>
      <c r="Q256" s="57">
        <v>5</v>
      </c>
      <c r="R256" s="57"/>
      <c r="S256" s="57">
        <v>44</v>
      </c>
      <c r="T256" s="57"/>
      <c r="U256" s="34"/>
      <c r="V256" s="34"/>
      <c r="W256" s="60"/>
    </row>
    <row r="257" spans="2:23" ht="12.75">
      <c r="B257" s="81">
        <v>4</v>
      </c>
      <c r="C257" s="34" t="s">
        <v>17</v>
      </c>
      <c r="D257" s="34"/>
      <c r="E257" s="34"/>
      <c r="F257" s="34"/>
      <c r="G257" s="34">
        <v>45</v>
      </c>
      <c r="H257" s="34" t="s">
        <v>66</v>
      </c>
      <c r="I257" s="24"/>
      <c r="J257" s="24"/>
      <c r="K257" s="34"/>
      <c r="L257" s="60"/>
      <c r="M257" s="84"/>
      <c r="N257" s="56">
        <v>4</v>
      </c>
      <c r="O257" s="57" t="s">
        <v>141</v>
      </c>
      <c r="P257" s="58">
        <v>1</v>
      </c>
      <c r="Q257" s="57"/>
      <c r="R257" s="57"/>
      <c r="S257" s="57">
        <v>45</v>
      </c>
      <c r="T257" s="57"/>
      <c r="U257" s="34"/>
      <c r="V257" s="34"/>
      <c r="W257" s="60"/>
    </row>
    <row r="258" spans="2:23" ht="12.75">
      <c r="B258" s="81">
        <v>5</v>
      </c>
      <c r="C258" s="34" t="s">
        <v>18</v>
      </c>
      <c r="D258" s="34"/>
      <c r="E258" s="34"/>
      <c r="F258" s="34"/>
      <c r="G258" s="34">
        <v>46</v>
      </c>
      <c r="H258" s="34" t="s">
        <v>67</v>
      </c>
      <c r="I258" s="24"/>
      <c r="J258" s="24"/>
      <c r="K258" s="34"/>
      <c r="L258" s="60"/>
      <c r="M258" s="84"/>
      <c r="N258" s="56">
        <v>5</v>
      </c>
      <c r="O258" s="57" t="s">
        <v>148</v>
      </c>
      <c r="P258" s="58"/>
      <c r="Q258" s="57"/>
      <c r="R258" s="57"/>
      <c r="S258" s="57">
        <v>46</v>
      </c>
      <c r="T258" s="57"/>
      <c r="U258" s="34"/>
      <c r="V258" s="34"/>
      <c r="W258" s="60"/>
    </row>
    <row r="259" spans="2:23" ht="12.75">
      <c r="B259" s="81">
        <v>6</v>
      </c>
      <c r="C259" s="34" t="s">
        <v>19</v>
      </c>
      <c r="D259" s="34"/>
      <c r="E259" s="34"/>
      <c r="F259" s="34"/>
      <c r="G259" s="34">
        <v>47</v>
      </c>
      <c r="H259" s="34" t="s">
        <v>68</v>
      </c>
      <c r="I259" s="24"/>
      <c r="J259" s="24"/>
      <c r="K259" s="34"/>
      <c r="L259" s="60"/>
      <c r="M259" s="84"/>
      <c r="N259" s="56">
        <v>6</v>
      </c>
      <c r="O259" s="57" t="s">
        <v>145</v>
      </c>
      <c r="P259" s="58"/>
      <c r="Q259" s="57"/>
      <c r="R259" s="57"/>
      <c r="S259" s="57">
        <v>47</v>
      </c>
      <c r="T259" s="57"/>
      <c r="U259" s="34"/>
      <c r="V259" s="34"/>
      <c r="W259" s="60"/>
    </row>
    <row r="260" spans="2:23" ht="12.75">
      <c r="B260" s="81">
        <v>7</v>
      </c>
      <c r="C260" s="34" t="s">
        <v>20</v>
      </c>
      <c r="D260" s="34"/>
      <c r="E260" s="34"/>
      <c r="F260" s="34"/>
      <c r="G260" s="34">
        <v>48</v>
      </c>
      <c r="H260" s="34" t="s">
        <v>69</v>
      </c>
      <c r="I260" s="24"/>
      <c r="J260" s="24"/>
      <c r="K260" s="34"/>
      <c r="L260" s="60"/>
      <c r="M260" s="84"/>
      <c r="N260" s="56">
        <v>7</v>
      </c>
      <c r="O260" s="57" t="s">
        <v>142</v>
      </c>
      <c r="P260" s="58">
        <v>1</v>
      </c>
      <c r="Q260" s="58">
        <v>1</v>
      </c>
      <c r="R260" s="57"/>
      <c r="S260" s="57">
        <v>48</v>
      </c>
      <c r="T260" s="57"/>
      <c r="U260" s="34"/>
      <c r="V260" s="34"/>
      <c r="W260" s="60"/>
    </row>
    <row r="261" spans="2:23" ht="12.75">
      <c r="B261" s="81">
        <v>8</v>
      </c>
      <c r="C261" s="34" t="s">
        <v>21</v>
      </c>
      <c r="D261" s="34"/>
      <c r="E261" s="34"/>
      <c r="F261" s="34"/>
      <c r="G261" s="34">
        <v>49</v>
      </c>
      <c r="H261" s="34" t="s">
        <v>47</v>
      </c>
      <c r="I261" s="34"/>
      <c r="J261" s="34">
        <v>4</v>
      </c>
      <c r="K261" s="34">
        <v>10</v>
      </c>
      <c r="L261" s="60"/>
      <c r="M261" s="84"/>
      <c r="N261" s="56">
        <v>8</v>
      </c>
      <c r="O261" s="57" t="s">
        <v>50</v>
      </c>
      <c r="P261" s="58"/>
      <c r="Q261" s="57"/>
      <c r="R261" s="57"/>
      <c r="S261" s="57">
        <v>49</v>
      </c>
      <c r="T261" s="57"/>
      <c r="U261" s="34"/>
      <c r="V261" s="34"/>
      <c r="W261" s="60"/>
    </row>
    <row r="262" spans="2:23" ht="12.75">
      <c r="B262" s="81">
        <v>9</v>
      </c>
      <c r="C262" s="34" t="s">
        <v>22</v>
      </c>
      <c r="D262" s="34"/>
      <c r="E262" s="34"/>
      <c r="F262" s="34"/>
      <c r="G262" s="34">
        <v>50</v>
      </c>
      <c r="H262" s="34" t="s">
        <v>48</v>
      </c>
      <c r="I262" s="24"/>
      <c r="J262" s="24"/>
      <c r="K262" s="34"/>
      <c r="L262" s="60"/>
      <c r="M262" s="84"/>
      <c r="N262" s="56">
        <v>9</v>
      </c>
      <c r="O262" s="34" t="s">
        <v>143</v>
      </c>
      <c r="P262" s="34">
        <v>38</v>
      </c>
      <c r="Q262" s="34">
        <v>36</v>
      </c>
      <c r="R262" s="57"/>
      <c r="S262" s="57">
        <v>50</v>
      </c>
      <c r="T262" s="57"/>
      <c r="U262" s="34"/>
      <c r="V262" s="34"/>
      <c r="W262" s="60"/>
    </row>
    <row r="263" spans="2:23" ht="12.75">
      <c r="B263" s="81">
        <v>10</v>
      </c>
      <c r="C263" s="34" t="s">
        <v>23</v>
      </c>
      <c r="D263" s="34"/>
      <c r="E263" s="34"/>
      <c r="F263" s="34"/>
      <c r="G263" s="34">
        <v>51</v>
      </c>
      <c r="H263" s="34" t="s">
        <v>49</v>
      </c>
      <c r="I263" s="24"/>
      <c r="J263" s="24"/>
      <c r="K263" s="34"/>
      <c r="L263" s="60"/>
      <c r="M263" s="84"/>
      <c r="N263" s="56">
        <v>10</v>
      </c>
      <c r="O263" s="57" t="s">
        <v>147</v>
      </c>
      <c r="P263" s="57">
        <v>3</v>
      </c>
      <c r="Q263" s="57"/>
      <c r="R263" s="57"/>
      <c r="S263" s="57">
        <v>51</v>
      </c>
      <c r="T263" s="57"/>
      <c r="U263" s="34"/>
      <c r="V263" s="34"/>
      <c r="W263" s="60"/>
    </row>
    <row r="264" spans="2:23" ht="12.75">
      <c r="B264" s="81">
        <v>11</v>
      </c>
      <c r="C264" s="34" t="s">
        <v>24</v>
      </c>
      <c r="D264" s="34"/>
      <c r="E264" s="34"/>
      <c r="F264" s="34"/>
      <c r="G264" s="34">
        <v>52</v>
      </c>
      <c r="H264" s="34" t="s">
        <v>70</v>
      </c>
      <c r="I264" s="24"/>
      <c r="J264" s="24"/>
      <c r="K264" s="34"/>
      <c r="L264" s="60"/>
      <c r="M264" s="84"/>
      <c r="N264" s="56">
        <v>11</v>
      </c>
      <c r="O264" s="57" t="s">
        <v>160</v>
      </c>
      <c r="P264" s="57">
        <v>8</v>
      </c>
      <c r="Q264" s="57">
        <v>3</v>
      </c>
      <c r="R264" s="57"/>
      <c r="S264" s="57">
        <v>52</v>
      </c>
      <c r="T264" s="57"/>
      <c r="U264" s="34"/>
      <c r="V264" s="34"/>
      <c r="W264" s="23"/>
    </row>
    <row r="265" spans="2:23" ht="12.75">
      <c r="B265" s="81">
        <v>12</v>
      </c>
      <c r="C265" s="34" t="s">
        <v>25</v>
      </c>
      <c r="D265" s="34"/>
      <c r="E265" s="34"/>
      <c r="F265" s="34"/>
      <c r="G265" s="97"/>
      <c r="H265" s="34"/>
      <c r="I265" s="24"/>
      <c r="J265" s="24"/>
      <c r="K265" s="34"/>
      <c r="L265" s="60"/>
      <c r="M265" s="84"/>
      <c r="N265" s="56">
        <v>12</v>
      </c>
      <c r="O265" s="57" t="s">
        <v>169</v>
      </c>
      <c r="P265" s="57"/>
      <c r="Q265" s="57"/>
      <c r="R265" s="57"/>
      <c r="S265" s="57">
        <v>53</v>
      </c>
      <c r="T265" s="57"/>
      <c r="U265" s="24"/>
      <c r="V265" s="24"/>
      <c r="W265" s="23"/>
    </row>
    <row r="266" spans="2:23" ht="12.75">
      <c r="B266" s="81">
        <v>13</v>
      </c>
      <c r="C266" s="34" t="s">
        <v>26</v>
      </c>
      <c r="D266" s="34">
        <v>8</v>
      </c>
      <c r="E266" s="34">
        <v>3</v>
      </c>
      <c r="F266" s="34"/>
      <c r="G266" s="97"/>
      <c r="H266" s="34"/>
      <c r="I266" s="24"/>
      <c r="J266" s="24"/>
      <c r="K266" s="34"/>
      <c r="L266" s="60"/>
      <c r="M266" s="84"/>
      <c r="N266" s="56">
        <v>13</v>
      </c>
      <c r="O266" s="57" t="s">
        <v>185</v>
      </c>
      <c r="P266" s="57"/>
      <c r="Q266" s="57"/>
      <c r="R266" s="57"/>
      <c r="S266" s="57">
        <v>54</v>
      </c>
      <c r="T266" s="57"/>
      <c r="U266" s="24"/>
      <c r="V266" s="24"/>
      <c r="W266" s="60"/>
    </row>
    <row r="267" spans="2:23" ht="12.75">
      <c r="B267" s="81">
        <v>14</v>
      </c>
      <c r="C267" s="34" t="s">
        <v>71</v>
      </c>
      <c r="D267" s="34"/>
      <c r="E267" s="34"/>
      <c r="F267" s="34"/>
      <c r="G267" s="34">
        <v>53</v>
      </c>
      <c r="H267" s="34" t="s">
        <v>72</v>
      </c>
      <c r="I267" s="24"/>
      <c r="J267" s="34"/>
      <c r="K267" s="34"/>
      <c r="L267" s="60"/>
      <c r="M267" s="84"/>
      <c r="N267" s="56">
        <v>14</v>
      </c>
      <c r="O267" s="57" t="s">
        <v>153</v>
      </c>
      <c r="P267" s="57"/>
      <c r="Q267" s="57"/>
      <c r="R267" s="57"/>
      <c r="S267" s="57">
        <v>55</v>
      </c>
      <c r="T267" s="57"/>
      <c r="U267" s="34"/>
      <c r="V267" s="34"/>
      <c r="W267" s="60"/>
    </row>
    <row r="268" spans="2:23" ht="12.75">
      <c r="B268" s="81">
        <v>15</v>
      </c>
      <c r="C268" s="34" t="s">
        <v>73</v>
      </c>
      <c r="D268" s="34"/>
      <c r="E268" s="34"/>
      <c r="F268" s="34"/>
      <c r="G268" s="34">
        <v>54</v>
      </c>
      <c r="H268" s="34" t="s">
        <v>74</v>
      </c>
      <c r="I268" s="24"/>
      <c r="J268" s="34"/>
      <c r="K268" s="34"/>
      <c r="L268" s="60"/>
      <c r="M268" s="84"/>
      <c r="N268" s="56">
        <v>15</v>
      </c>
      <c r="O268" s="57" t="s">
        <v>204</v>
      </c>
      <c r="P268" s="57"/>
      <c r="Q268" s="57"/>
      <c r="R268" s="57"/>
      <c r="S268" s="57">
        <v>56</v>
      </c>
      <c r="T268" s="57"/>
      <c r="U268" s="34"/>
      <c r="V268" s="34"/>
      <c r="W268" s="60"/>
    </row>
    <row r="269" spans="2:23" ht="12.75">
      <c r="B269" s="81">
        <v>16</v>
      </c>
      <c r="C269" s="34" t="s">
        <v>28</v>
      </c>
      <c r="D269" s="34"/>
      <c r="E269" s="34"/>
      <c r="F269" s="34"/>
      <c r="G269" s="34">
        <v>55</v>
      </c>
      <c r="H269" s="34" t="s">
        <v>50</v>
      </c>
      <c r="I269" s="34"/>
      <c r="J269" s="34">
        <v>41</v>
      </c>
      <c r="K269" s="34">
        <v>42</v>
      </c>
      <c r="L269" s="60"/>
      <c r="M269" s="84"/>
      <c r="N269" s="56">
        <v>16</v>
      </c>
      <c r="O269" s="57" t="s">
        <v>168</v>
      </c>
      <c r="P269" s="57"/>
      <c r="Q269" s="57"/>
      <c r="R269" s="57"/>
      <c r="S269" s="57">
        <v>57</v>
      </c>
      <c r="T269" s="57"/>
      <c r="U269" s="34"/>
      <c r="V269" s="34"/>
      <c r="W269" s="60"/>
    </row>
    <row r="270" spans="2:23" ht="12.75">
      <c r="B270" s="81">
        <v>17</v>
      </c>
      <c r="C270" s="34" t="s">
        <v>29</v>
      </c>
      <c r="D270" s="34"/>
      <c r="E270" s="34"/>
      <c r="F270" s="34"/>
      <c r="G270" s="34">
        <v>56</v>
      </c>
      <c r="H270" s="34" t="s">
        <v>76</v>
      </c>
      <c r="I270" s="24"/>
      <c r="J270" s="34">
        <v>1</v>
      </c>
      <c r="K270" s="34"/>
      <c r="L270" s="60"/>
      <c r="M270" s="84"/>
      <c r="N270" s="56">
        <v>17</v>
      </c>
      <c r="O270" s="57" t="s">
        <v>195</v>
      </c>
      <c r="P270" s="57"/>
      <c r="Q270" s="57"/>
      <c r="R270" s="57"/>
      <c r="S270" s="57">
        <v>58</v>
      </c>
      <c r="T270" s="57"/>
      <c r="U270" s="34"/>
      <c r="V270" s="34"/>
      <c r="W270" s="60"/>
    </row>
    <row r="271" spans="2:23" ht="12.75">
      <c r="B271" s="81">
        <v>18</v>
      </c>
      <c r="C271" s="34" t="s">
        <v>30</v>
      </c>
      <c r="D271" s="34">
        <v>12</v>
      </c>
      <c r="E271" s="34">
        <v>2</v>
      </c>
      <c r="F271" s="34"/>
      <c r="G271" s="34">
        <v>57</v>
      </c>
      <c r="H271" s="34" t="s">
        <v>51</v>
      </c>
      <c r="I271" s="24"/>
      <c r="J271" s="34"/>
      <c r="K271" s="34"/>
      <c r="L271" s="60"/>
      <c r="M271" s="84"/>
      <c r="N271" s="56">
        <v>18</v>
      </c>
      <c r="O271" s="57" t="s">
        <v>170</v>
      </c>
      <c r="P271" s="57"/>
      <c r="Q271" s="57"/>
      <c r="R271" s="57"/>
      <c r="S271" s="57">
        <v>59</v>
      </c>
      <c r="T271" s="57"/>
      <c r="U271" s="34"/>
      <c r="V271" s="34"/>
      <c r="W271" s="60"/>
    </row>
    <row r="272" spans="2:23" ht="12.75">
      <c r="B272" s="81">
        <v>19</v>
      </c>
      <c r="C272" s="34" t="s">
        <v>31</v>
      </c>
      <c r="D272" s="34"/>
      <c r="E272" s="34"/>
      <c r="F272" s="34"/>
      <c r="G272" s="34">
        <v>58</v>
      </c>
      <c r="H272" s="34" t="s">
        <v>77</v>
      </c>
      <c r="I272" s="24"/>
      <c r="J272" s="34"/>
      <c r="K272" s="34"/>
      <c r="L272" s="60"/>
      <c r="M272" s="84"/>
      <c r="N272" s="56">
        <v>19</v>
      </c>
      <c r="O272" s="57" t="s">
        <v>172</v>
      </c>
      <c r="P272" s="57">
        <v>2</v>
      </c>
      <c r="Q272" s="57">
        <v>2</v>
      </c>
      <c r="R272" s="57"/>
      <c r="S272" s="57">
        <v>60</v>
      </c>
      <c r="T272" s="57"/>
      <c r="U272" s="34"/>
      <c r="V272" s="34"/>
      <c r="W272" s="60"/>
    </row>
    <row r="273" spans="2:23" ht="12.75">
      <c r="B273" s="81">
        <v>20</v>
      </c>
      <c r="C273" s="34" t="s">
        <v>32</v>
      </c>
      <c r="D273" s="34"/>
      <c r="E273" s="34"/>
      <c r="F273" s="34"/>
      <c r="G273" s="34">
        <v>59</v>
      </c>
      <c r="H273" s="34" t="s">
        <v>75</v>
      </c>
      <c r="I273" s="24"/>
      <c r="J273" s="24"/>
      <c r="K273" s="34"/>
      <c r="L273" s="60"/>
      <c r="M273" s="84"/>
      <c r="N273" s="56">
        <v>20</v>
      </c>
      <c r="O273" s="57"/>
      <c r="P273" s="57"/>
      <c r="Q273" s="57"/>
      <c r="R273" s="57"/>
      <c r="S273" s="57">
        <v>61</v>
      </c>
      <c r="T273" s="57"/>
      <c r="U273" s="34"/>
      <c r="V273" s="34"/>
      <c r="W273" s="60"/>
    </row>
    <row r="274" spans="2:23" ht="12.75">
      <c r="B274" s="81">
        <v>21</v>
      </c>
      <c r="C274" s="34" t="s">
        <v>33</v>
      </c>
      <c r="D274" s="34"/>
      <c r="E274" s="34"/>
      <c r="F274" s="34"/>
      <c r="G274" s="34">
        <v>60</v>
      </c>
      <c r="H274" s="34" t="s">
        <v>53</v>
      </c>
      <c r="I274" s="24"/>
      <c r="J274" s="24"/>
      <c r="K274" s="34"/>
      <c r="L274" s="60"/>
      <c r="M274" s="84"/>
      <c r="N274" s="56">
        <v>21</v>
      </c>
      <c r="O274" s="57"/>
      <c r="P274" s="57"/>
      <c r="Q274" s="57"/>
      <c r="R274" s="57"/>
      <c r="S274" s="57">
        <v>62</v>
      </c>
      <c r="T274" s="57"/>
      <c r="U274" s="34"/>
      <c r="V274" s="34"/>
      <c r="W274" s="60"/>
    </row>
    <row r="275" spans="2:23" ht="12.75">
      <c r="B275" s="81">
        <v>22</v>
      </c>
      <c r="C275" s="34" t="s">
        <v>34</v>
      </c>
      <c r="D275" s="34"/>
      <c r="E275" s="34"/>
      <c r="F275" s="34"/>
      <c r="G275" s="34">
        <v>61</v>
      </c>
      <c r="H275" s="34" t="s">
        <v>78</v>
      </c>
      <c r="I275" s="24"/>
      <c r="J275" s="34"/>
      <c r="K275" s="34"/>
      <c r="L275" s="60"/>
      <c r="M275" s="84"/>
      <c r="N275" s="56">
        <v>22</v>
      </c>
      <c r="O275" s="57"/>
      <c r="P275" s="57"/>
      <c r="Q275" s="57"/>
      <c r="R275" s="57"/>
      <c r="S275" s="57">
        <v>63</v>
      </c>
      <c r="T275" s="57"/>
      <c r="U275" s="34"/>
      <c r="V275" s="34"/>
      <c r="W275" s="60"/>
    </row>
    <row r="276" spans="2:23" ht="12.75">
      <c r="B276" s="81">
        <v>23</v>
      </c>
      <c r="C276" s="34" t="s">
        <v>79</v>
      </c>
      <c r="D276" s="34"/>
      <c r="E276" s="34"/>
      <c r="F276" s="34"/>
      <c r="G276" s="34">
        <v>62</v>
      </c>
      <c r="H276" s="34"/>
      <c r="I276" s="24"/>
      <c r="J276" s="34"/>
      <c r="K276" s="34"/>
      <c r="L276" s="60"/>
      <c r="M276" s="84"/>
      <c r="N276" s="56">
        <v>23</v>
      </c>
      <c r="O276" s="57"/>
      <c r="P276" s="57"/>
      <c r="Q276" s="57"/>
      <c r="R276" s="57"/>
      <c r="S276" s="57">
        <v>64</v>
      </c>
      <c r="T276" s="57"/>
      <c r="U276" s="34"/>
      <c r="V276" s="34"/>
      <c r="W276" s="60"/>
    </row>
    <row r="277" spans="2:23" ht="12.75">
      <c r="B277" s="81">
        <v>24</v>
      </c>
      <c r="C277" s="34" t="s">
        <v>80</v>
      </c>
      <c r="D277" s="34">
        <v>10</v>
      </c>
      <c r="E277" s="34">
        <v>5</v>
      </c>
      <c r="F277" s="34"/>
      <c r="G277" s="34"/>
      <c r="H277" s="34"/>
      <c r="I277" s="24"/>
      <c r="J277" s="24"/>
      <c r="K277" s="34"/>
      <c r="L277" s="60"/>
      <c r="M277" s="84"/>
      <c r="N277" s="56">
        <v>24</v>
      </c>
      <c r="O277" s="57"/>
      <c r="P277" s="57"/>
      <c r="Q277" s="57"/>
      <c r="R277" s="57"/>
      <c r="S277" s="57">
        <v>65</v>
      </c>
      <c r="T277" s="57"/>
      <c r="U277" s="34"/>
      <c r="V277" s="34"/>
      <c r="W277" s="60"/>
    </row>
    <row r="278" spans="2:23" ht="12.75">
      <c r="B278" s="81">
        <v>25</v>
      </c>
      <c r="C278" s="34" t="s">
        <v>81</v>
      </c>
      <c r="D278" s="34"/>
      <c r="E278" s="34"/>
      <c r="F278" s="34"/>
      <c r="G278" s="34"/>
      <c r="H278" s="34"/>
      <c r="I278" s="24"/>
      <c r="J278" s="24"/>
      <c r="K278" s="34"/>
      <c r="L278" s="60"/>
      <c r="M278" s="84"/>
      <c r="N278" s="56">
        <v>25</v>
      </c>
      <c r="O278" s="57"/>
      <c r="P278" s="57"/>
      <c r="Q278" s="57"/>
      <c r="R278" s="57"/>
      <c r="S278" s="57">
        <v>66</v>
      </c>
      <c r="T278" s="57"/>
      <c r="U278" s="34"/>
      <c r="V278" s="34"/>
      <c r="W278" s="60"/>
    </row>
    <row r="279" spans="2:23" ht="12.75">
      <c r="B279" s="81">
        <v>26</v>
      </c>
      <c r="C279" s="34" t="s">
        <v>35</v>
      </c>
      <c r="D279" s="34">
        <v>10</v>
      </c>
      <c r="E279" s="34"/>
      <c r="F279" s="34"/>
      <c r="G279" s="34"/>
      <c r="H279" s="34"/>
      <c r="I279" s="24"/>
      <c r="J279" s="24"/>
      <c r="K279" s="34"/>
      <c r="L279" s="60"/>
      <c r="M279" s="84"/>
      <c r="N279" s="56">
        <v>26</v>
      </c>
      <c r="O279" s="57"/>
      <c r="P279" s="57"/>
      <c r="Q279" s="57"/>
      <c r="R279" s="57"/>
      <c r="S279" s="57">
        <v>67</v>
      </c>
      <c r="T279" s="57"/>
      <c r="U279" s="34"/>
      <c r="V279" s="34"/>
      <c r="W279" s="60"/>
    </row>
    <row r="280" spans="2:23" ht="12.75">
      <c r="B280" s="81">
        <v>27</v>
      </c>
      <c r="C280" s="34" t="s">
        <v>36</v>
      </c>
      <c r="D280" s="34"/>
      <c r="E280" s="34"/>
      <c r="F280" s="34"/>
      <c r="G280" s="34">
        <v>63</v>
      </c>
      <c r="H280" s="34" t="s">
        <v>82</v>
      </c>
      <c r="I280" s="24"/>
      <c r="J280" s="24"/>
      <c r="K280" s="34"/>
      <c r="L280" s="60"/>
      <c r="M280" s="84"/>
      <c r="N280" s="56">
        <v>27</v>
      </c>
      <c r="O280" s="57"/>
      <c r="P280" s="57"/>
      <c r="Q280" s="57"/>
      <c r="R280" s="57"/>
      <c r="S280" s="57">
        <v>68</v>
      </c>
      <c r="T280" s="57"/>
      <c r="U280" s="34"/>
      <c r="V280" s="34"/>
      <c r="W280" s="60"/>
    </row>
    <row r="281" spans="2:23" ht="12.75">
      <c r="B281" s="81">
        <v>28</v>
      </c>
      <c r="C281" s="34" t="s">
        <v>37</v>
      </c>
      <c r="D281" s="34"/>
      <c r="E281" s="34"/>
      <c r="F281" s="34"/>
      <c r="G281" s="34">
        <v>64</v>
      </c>
      <c r="H281" s="34" t="s">
        <v>83</v>
      </c>
      <c r="I281" s="34"/>
      <c r="J281" s="34"/>
      <c r="K281" s="24"/>
      <c r="L281" s="60"/>
      <c r="M281" s="84"/>
      <c r="N281" s="56">
        <v>28</v>
      </c>
      <c r="O281" s="57"/>
      <c r="P281" s="57"/>
      <c r="Q281" s="57"/>
      <c r="R281" s="57"/>
      <c r="S281" s="57">
        <v>69</v>
      </c>
      <c r="T281" s="57"/>
      <c r="U281" s="34"/>
      <c r="V281" s="34"/>
      <c r="W281" s="60"/>
    </row>
    <row r="282" spans="2:23" ht="12.75">
      <c r="B282" s="81">
        <v>29</v>
      </c>
      <c r="C282" s="34" t="s">
        <v>38</v>
      </c>
      <c r="D282" s="34">
        <v>1</v>
      </c>
      <c r="E282" s="34"/>
      <c r="F282" s="34"/>
      <c r="G282" s="34">
        <v>65</v>
      </c>
      <c r="H282" s="34" t="s">
        <v>84</v>
      </c>
      <c r="I282" s="24"/>
      <c r="J282" s="34"/>
      <c r="K282" s="34"/>
      <c r="L282" s="60"/>
      <c r="M282" s="84"/>
      <c r="N282" s="56">
        <v>29</v>
      </c>
      <c r="O282" s="57"/>
      <c r="P282" s="57"/>
      <c r="Q282" s="57"/>
      <c r="R282" s="57"/>
      <c r="S282" s="57">
        <v>70</v>
      </c>
      <c r="T282" s="57"/>
      <c r="U282" s="34"/>
      <c r="V282" s="34"/>
      <c r="W282" s="60"/>
    </row>
    <row r="283" spans="2:23" ht="12.75">
      <c r="B283" s="81">
        <v>30</v>
      </c>
      <c r="C283" s="34" t="s">
        <v>39</v>
      </c>
      <c r="D283" s="34">
        <v>10</v>
      </c>
      <c r="E283" s="34">
        <v>6</v>
      </c>
      <c r="F283" s="34"/>
      <c r="G283" s="34">
        <v>66</v>
      </c>
      <c r="H283" s="34" t="s">
        <v>85</v>
      </c>
      <c r="I283" s="24"/>
      <c r="J283" s="24"/>
      <c r="K283" s="34"/>
      <c r="L283" s="60"/>
      <c r="M283" s="84"/>
      <c r="N283" s="56">
        <v>30</v>
      </c>
      <c r="O283" s="57"/>
      <c r="P283" s="57"/>
      <c r="Q283" s="57"/>
      <c r="R283" s="57"/>
      <c r="S283" s="57">
        <v>71</v>
      </c>
      <c r="T283" s="57"/>
      <c r="U283" s="34"/>
      <c r="V283" s="34"/>
      <c r="W283" s="60"/>
    </row>
    <row r="284" spans="2:23" ht="12.75">
      <c r="B284" s="81">
        <v>31</v>
      </c>
      <c r="C284" s="34" t="s">
        <v>86</v>
      </c>
      <c r="D284" s="34">
        <v>15</v>
      </c>
      <c r="E284" s="34">
        <v>14</v>
      </c>
      <c r="F284" s="34"/>
      <c r="G284" s="34">
        <v>67</v>
      </c>
      <c r="H284" s="34" t="s">
        <v>87</v>
      </c>
      <c r="I284" s="24"/>
      <c r="J284" s="24"/>
      <c r="K284" s="34"/>
      <c r="L284" s="60"/>
      <c r="M284" s="84"/>
      <c r="N284" s="56">
        <v>31</v>
      </c>
      <c r="O284" s="57"/>
      <c r="P284" s="57"/>
      <c r="Q284" s="57"/>
      <c r="R284" s="57"/>
      <c r="S284" s="57">
        <v>72</v>
      </c>
      <c r="T284" s="57"/>
      <c r="U284" s="34"/>
      <c r="V284" s="34"/>
      <c r="W284" s="60"/>
    </row>
    <row r="285" spans="2:23" ht="12.75">
      <c r="B285" s="81">
        <v>32</v>
      </c>
      <c r="C285" s="34" t="s">
        <v>40</v>
      </c>
      <c r="D285" s="34"/>
      <c r="E285" s="34"/>
      <c r="F285" s="34"/>
      <c r="G285" s="34">
        <v>68</v>
      </c>
      <c r="H285" s="34" t="s">
        <v>88</v>
      </c>
      <c r="I285" s="24"/>
      <c r="J285" s="34"/>
      <c r="K285" s="34"/>
      <c r="L285" s="60"/>
      <c r="M285" s="84"/>
      <c r="N285" s="56">
        <v>32</v>
      </c>
      <c r="O285" s="34"/>
      <c r="P285" s="34"/>
      <c r="Q285" s="34"/>
      <c r="R285" s="34"/>
      <c r="S285" s="57">
        <v>73</v>
      </c>
      <c r="T285" s="57"/>
      <c r="U285" s="34"/>
      <c r="V285" s="34"/>
      <c r="W285" s="60"/>
    </row>
    <row r="286" spans="2:23" ht="12.75">
      <c r="B286" s="81"/>
      <c r="C286" s="34"/>
      <c r="D286" s="34"/>
      <c r="E286" s="34"/>
      <c r="F286" s="34"/>
      <c r="G286" s="34"/>
      <c r="H286" s="34"/>
      <c r="I286" s="24"/>
      <c r="J286" s="24"/>
      <c r="K286" s="34"/>
      <c r="L286" s="60"/>
      <c r="M286" s="84"/>
      <c r="N286" s="56">
        <v>33</v>
      </c>
      <c r="O286" s="34"/>
      <c r="P286" s="34"/>
      <c r="Q286" s="34"/>
      <c r="R286" s="34"/>
      <c r="S286" s="57">
        <v>74</v>
      </c>
      <c r="T286" s="57"/>
      <c r="U286" s="34"/>
      <c r="V286" s="34"/>
      <c r="W286" s="60"/>
    </row>
    <row r="287" spans="2:23" ht="12.75">
      <c r="B287" s="81"/>
      <c r="C287" s="34"/>
      <c r="D287" s="34"/>
      <c r="E287" s="34"/>
      <c r="F287" s="34"/>
      <c r="G287" s="34"/>
      <c r="H287" s="34"/>
      <c r="I287" s="24"/>
      <c r="J287" s="24"/>
      <c r="K287" s="34"/>
      <c r="L287" s="60"/>
      <c r="M287" s="84"/>
      <c r="N287" s="56">
        <v>34</v>
      </c>
      <c r="O287" s="34"/>
      <c r="P287" s="34"/>
      <c r="Q287" s="34"/>
      <c r="R287" s="34"/>
      <c r="S287" s="57">
        <v>75</v>
      </c>
      <c r="T287" s="57"/>
      <c r="U287" s="34"/>
      <c r="V287" s="34"/>
      <c r="W287" s="60"/>
    </row>
    <row r="288" spans="2:23" ht="12.75">
      <c r="B288" s="81"/>
      <c r="C288" s="32"/>
      <c r="D288" s="34"/>
      <c r="E288" s="34"/>
      <c r="F288" s="34"/>
      <c r="G288" s="34"/>
      <c r="H288" s="34"/>
      <c r="I288" s="24"/>
      <c r="J288" s="24"/>
      <c r="K288" s="34"/>
      <c r="L288" s="60"/>
      <c r="M288" s="84"/>
      <c r="N288" s="56">
        <v>35</v>
      </c>
      <c r="O288" s="34"/>
      <c r="P288" s="34"/>
      <c r="Q288" s="34"/>
      <c r="R288" s="34"/>
      <c r="S288" s="57">
        <v>76</v>
      </c>
      <c r="T288" s="57"/>
      <c r="U288" s="34"/>
      <c r="V288" s="34"/>
      <c r="W288" s="60"/>
    </row>
    <row r="289" spans="2:23" ht="12.75">
      <c r="B289" s="81">
        <v>33</v>
      </c>
      <c r="C289" s="34" t="s">
        <v>41</v>
      </c>
      <c r="D289" s="34"/>
      <c r="E289" s="61"/>
      <c r="F289" s="34"/>
      <c r="G289" s="34"/>
      <c r="H289" s="34"/>
      <c r="I289" s="24"/>
      <c r="J289" s="24"/>
      <c r="K289" s="34"/>
      <c r="L289" s="60"/>
      <c r="M289" s="84"/>
      <c r="N289" s="56">
        <v>36</v>
      </c>
      <c r="O289" s="34"/>
      <c r="P289" s="34"/>
      <c r="Q289" s="34"/>
      <c r="R289" s="34"/>
      <c r="S289" s="57">
        <v>77</v>
      </c>
      <c r="T289" s="57"/>
      <c r="U289" s="34"/>
      <c r="V289" s="34"/>
      <c r="W289" s="60"/>
    </row>
    <row r="290" spans="2:23" ht="12.75">
      <c r="B290" s="81">
        <v>34</v>
      </c>
      <c r="C290" s="34" t="s">
        <v>42</v>
      </c>
      <c r="D290" s="34"/>
      <c r="E290" s="34"/>
      <c r="F290" s="34"/>
      <c r="G290" s="34"/>
      <c r="H290" s="34" t="s">
        <v>89</v>
      </c>
      <c r="I290" s="34">
        <f>U295</f>
        <v>78</v>
      </c>
      <c r="J290" s="34">
        <f>U295</f>
        <v>78</v>
      </c>
      <c r="K290" s="34">
        <f>V295</f>
        <v>60</v>
      </c>
      <c r="L290" s="60"/>
      <c r="M290" s="84"/>
      <c r="N290" s="56">
        <v>37</v>
      </c>
      <c r="O290" s="34"/>
      <c r="P290" s="34"/>
      <c r="Q290" s="34"/>
      <c r="R290" s="34"/>
      <c r="S290" s="57">
        <v>78</v>
      </c>
      <c r="T290" s="57"/>
      <c r="U290" s="34"/>
      <c r="V290" s="34"/>
      <c r="W290" s="60"/>
    </row>
    <row r="291" spans="2:23" ht="12.75">
      <c r="B291" s="81">
        <v>35</v>
      </c>
      <c r="C291" s="34" t="s">
        <v>43</v>
      </c>
      <c r="D291" s="34"/>
      <c r="E291" s="34"/>
      <c r="F291" s="34"/>
      <c r="G291" s="34"/>
      <c r="H291" s="34" t="s">
        <v>55</v>
      </c>
      <c r="I291" s="84">
        <f>SUM(D254:D298,I255:I256,I254:I290)</f>
        <v>148</v>
      </c>
      <c r="J291" s="34">
        <f>SUM(D254:D298,J254:J290)</f>
        <v>194</v>
      </c>
      <c r="K291" s="34">
        <f>SUM(E254:E298,K254:K290)</f>
        <v>146</v>
      </c>
      <c r="L291" s="60">
        <f>SUM(F254:F298,L254:L290)</f>
        <v>0</v>
      </c>
      <c r="M291" s="84"/>
      <c r="N291" s="56">
        <v>38</v>
      </c>
      <c r="O291" s="34"/>
      <c r="P291" s="34"/>
      <c r="Q291" s="34"/>
      <c r="R291" s="34"/>
      <c r="S291" s="57">
        <v>79</v>
      </c>
      <c r="T291" s="57"/>
      <c r="U291" s="34"/>
      <c r="V291" s="34"/>
      <c r="W291" s="60"/>
    </row>
    <row r="292" spans="2:23" ht="12.75">
      <c r="B292" s="81">
        <v>36</v>
      </c>
      <c r="C292" s="34" t="s">
        <v>90</v>
      </c>
      <c r="D292" s="34"/>
      <c r="E292" s="34"/>
      <c r="F292" s="34"/>
      <c r="G292" s="34"/>
      <c r="H292" s="34" t="s">
        <v>56</v>
      </c>
      <c r="I292" s="34">
        <v>33</v>
      </c>
      <c r="J292" s="34">
        <v>962</v>
      </c>
      <c r="K292" s="34">
        <v>851</v>
      </c>
      <c r="L292" s="60"/>
      <c r="M292" s="21"/>
      <c r="N292" s="56">
        <v>39</v>
      </c>
      <c r="O292" s="34"/>
      <c r="P292" s="34"/>
      <c r="Q292" s="34"/>
      <c r="R292" s="34"/>
      <c r="S292" s="57">
        <v>80</v>
      </c>
      <c r="T292" s="57"/>
      <c r="U292" s="34"/>
      <c r="V292" s="34"/>
      <c r="W292" s="60"/>
    </row>
    <row r="293" spans="2:23" ht="12.75">
      <c r="B293" s="81">
        <v>37</v>
      </c>
      <c r="C293" s="34" t="s">
        <v>44</v>
      </c>
      <c r="D293" s="34">
        <v>4</v>
      </c>
      <c r="E293" s="34">
        <v>4</v>
      </c>
      <c r="F293" s="34"/>
      <c r="G293" s="34"/>
      <c r="H293" s="34" t="s">
        <v>91</v>
      </c>
      <c r="I293" s="34">
        <f>SUM(I291:I292)</f>
        <v>181</v>
      </c>
      <c r="J293" s="34">
        <f>SUM(J291:J292)</f>
        <v>1156</v>
      </c>
      <c r="K293" s="34">
        <f>SUM(K291:K292)</f>
        <v>997</v>
      </c>
      <c r="L293" s="60">
        <f>SUM(F254:F299,L254:L290)</f>
        <v>0</v>
      </c>
      <c r="M293" s="21"/>
      <c r="N293" s="56">
        <v>40</v>
      </c>
      <c r="O293" s="34"/>
      <c r="P293" s="34"/>
      <c r="Q293" s="34"/>
      <c r="R293" s="34"/>
      <c r="S293" s="57">
        <v>81</v>
      </c>
      <c r="T293" s="57"/>
      <c r="U293" s="34"/>
      <c r="V293" s="34"/>
      <c r="W293" s="60"/>
    </row>
    <row r="294" spans="2:23" ht="12.75">
      <c r="B294" s="81">
        <v>38</v>
      </c>
      <c r="C294" s="34" t="s">
        <v>45</v>
      </c>
      <c r="D294" s="34"/>
      <c r="E294" s="34"/>
      <c r="F294" s="34"/>
      <c r="G294" s="34"/>
      <c r="H294" s="34"/>
      <c r="I294" s="24"/>
      <c r="J294" s="24"/>
      <c r="K294" s="34"/>
      <c r="L294" s="60"/>
      <c r="M294" s="21"/>
      <c r="N294" s="56">
        <v>41</v>
      </c>
      <c r="O294" s="34"/>
      <c r="P294" s="34"/>
      <c r="Q294" s="34"/>
      <c r="R294" s="34"/>
      <c r="S294" s="57"/>
      <c r="T294" s="24"/>
      <c r="U294" s="34"/>
      <c r="V294" s="34"/>
      <c r="W294" s="60"/>
    </row>
    <row r="295" spans="2:23" ht="12.75">
      <c r="B295" s="81">
        <v>39</v>
      </c>
      <c r="C295" s="34"/>
      <c r="D295" s="34"/>
      <c r="E295" s="34"/>
      <c r="F295" s="34"/>
      <c r="G295" s="34"/>
      <c r="H295" s="34"/>
      <c r="I295" s="34"/>
      <c r="J295" s="34"/>
      <c r="K295" s="34"/>
      <c r="L295" s="25"/>
      <c r="M295" s="84"/>
      <c r="N295" s="65"/>
      <c r="O295" s="66"/>
      <c r="P295" s="66"/>
      <c r="Q295" s="66"/>
      <c r="R295" s="66"/>
      <c r="S295" s="66"/>
      <c r="T295" s="34" t="s">
        <v>6</v>
      </c>
      <c r="U295" s="34">
        <f>SUM(P254:P294)</f>
        <v>78</v>
      </c>
      <c r="V295" s="34">
        <f>SUM(Q254:Q294)</f>
        <v>60</v>
      </c>
      <c r="W295" s="60">
        <f>SUM(R254:R294,W253:W293)</f>
        <v>0</v>
      </c>
    </row>
    <row r="296" spans="2:23" ht="13.5" thickBot="1">
      <c r="B296" s="81"/>
      <c r="C296" s="32"/>
      <c r="D296" s="34"/>
      <c r="E296" s="34"/>
      <c r="F296" s="34"/>
      <c r="G296" s="34"/>
      <c r="H296" s="34"/>
      <c r="I296" s="34"/>
      <c r="J296" s="34"/>
      <c r="K296" s="34"/>
      <c r="L296" s="60"/>
      <c r="M296" s="21"/>
      <c r="N296" s="328" t="s">
        <v>94</v>
      </c>
      <c r="O296" s="329"/>
      <c r="P296" s="329"/>
      <c r="Q296" s="329"/>
      <c r="R296" s="329"/>
      <c r="S296" s="329"/>
      <c r="T296" s="329"/>
      <c r="U296" s="329"/>
      <c r="V296" s="329"/>
      <c r="W296" s="330"/>
    </row>
    <row r="297" spans="2:23" ht="12.75">
      <c r="B297" s="81">
        <v>40</v>
      </c>
      <c r="C297" s="34" t="s">
        <v>92</v>
      </c>
      <c r="D297" s="34"/>
      <c r="E297" s="34"/>
      <c r="F297" s="34"/>
      <c r="G297" s="34"/>
      <c r="H297" s="34"/>
      <c r="I297" s="34"/>
      <c r="J297" s="34"/>
      <c r="K297" s="34"/>
      <c r="L297" s="60"/>
      <c r="M297" s="84"/>
      <c r="N297" s="21"/>
      <c r="O297" s="21"/>
      <c r="P297" s="21"/>
      <c r="Q297" s="21"/>
      <c r="R297" s="21"/>
      <c r="S297" s="21"/>
      <c r="T297" s="21"/>
      <c r="U297" s="21"/>
      <c r="V297" s="21"/>
      <c r="W297" s="21"/>
    </row>
    <row r="298" spans="2:23" ht="12.75">
      <c r="B298" s="81">
        <v>41</v>
      </c>
      <c r="C298" s="34" t="s">
        <v>93</v>
      </c>
      <c r="D298" s="34"/>
      <c r="E298" s="34"/>
      <c r="F298" s="34"/>
      <c r="G298" s="34"/>
      <c r="H298" s="34"/>
      <c r="I298" s="34"/>
      <c r="J298" s="34"/>
      <c r="K298" s="34"/>
      <c r="L298" s="60"/>
      <c r="M298" s="84"/>
      <c r="N298" s="21"/>
      <c r="O298" s="21"/>
      <c r="P298" s="21"/>
      <c r="Q298" s="21"/>
      <c r="R298" s="21"/>
      <c r="S298" s="21"/>
      <c r="T298" s="21"/>
      <c r="U298" s="21"/>
      <c r="V298" s="21"/>
      <c r="W298" s="21"/>
    </row>
    <row r="299" spans="2:23" ht="12.75">
      <c r="B299" s="81"/>
      <c r="C299" s="24"/>
      <c r="D299" s="34"/>
      <c r="E299" s="34"/>
      <c r="F299" s="34"/>
      <c r="G299" s="34"/>
      <c r="H299" s="34"/>
      <c r="I299" s="34"/>
      <c r="J299" s="34"/>
      <c r="K299" s="34"/>
      <c r="L299" s="60"/>
      <c r="M299" s="84"/>
      <c r="N299" s="21"/>
      <c r="O299" s="21"/>
      <c r="P299" s="21"/>
      <c r="Q299" s="21"/>
      <c r="R299" s="21"/>
      <c r="S299" s="21"/>
      <c r="T299" s="21"/>
      <c r="U299" s="21"/>
      <c r="V299" s="21"/>
      <c r="W299" s="21"/>
    </row>
    <row r="300" spans="2:23" ht="13.5" thickBot="1">
      <c r="B300" s="328" t="s">
        <v>94</v>
      </c>
      <c r="C300" s="329"/>
      <c r="D300" s="329"/>
      <c r="E300" s="329"/>
      <c r="F300" s="329"/>
      <c r="G300" s="329"/>
      <c r="H300" s="329"/>
      <c r="I300" s="329"/>
      <c r="J300" s="329"/>
      <c r="K300" s="329"/>
      <c r="L300" s="330"/>
      <c r="M300" s="84"/>
      <c r="N300" s="21"/>
      <c r="O300" s="21"/>
      <c r="P300" s="21"/>
      <c r="Q300" s="21"/>
      <c r="R300" s="21"/>
      <c r="S300" s="21"/>
      <c r="T300" s="21"/>
      <c r="U300" s="21"/>
      <c r="V300" s="21"/>
      <c r="W300" s="21"/>
    </row>
    <row r="301" spans="2:23" ht="12.75"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</row>
    <row r="302" spans="2:23" ht="12.75"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</row>
    <row r="303" spans="2:23" ht="12.75"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</row>
    <row r="304" spans="2:23" ht="12.75"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</row>
    <row r="305" spans="2:23" ht="12.75"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</row>
    <row r="306" spans="2:23" ht="12.75"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</row>
    <row r="307" spans="2:23" ht="12.75"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</row>
    <row r="308" spans="2:23" ht="12.75"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</row>
    <row r="309" spans="2:23" ht="12.75"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</row>
    <row r="310" spans="2:23" ht="12.75"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</row>
    <row r="311" spans="2:23" ht="12.75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</row>
    <row r="312" spans="2:23" ht="12.75"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</row>
    <row r="313" spans="2:23" ht="13.5" thickBot="1"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</row>
    <row r="314" spans="2:23" ht="12.75">
      <c r="B314" s="337" t="s">
        <v>289</v>
      </c>
      <c r="C314" s="338"/>
      <c r="D314" s="338"/>
      <c r="E314" s="338"/>
      <c r="F314" s="338"/>
      <c r="G314" s="338"/>
      <c r="H314" s="338"/>
      <c r="I314" s="338"/>
      <c r="J314" s="338"/>
      <c r="K314" s="338"/>
      <c r="L314" s="339"/>
      <c r="M314" s="21"/>
      <c r="N314" s="321" t="s">
        <v>290</v>
      </c>
      <c r="O314" s="322"/>
      <c r="P314" s="322"/>
      <c r="Q314" s="322"/>
      <c r="R314" s="322"/>
      <c r="S314" s="322"/>
      <c r="T314" s="322"/>
      <c r="U314" s="322"/>
      <c r="V314" s="322"/>
      <c r="W314" s="327"/>
    </row>
    <row r="315" spans="2:23" ht="12.75">
      <c r="B315" s="81" t="s">
        <v>58</v>
      </c>
      <c r="C315" s="34" t="s">
        <v>9</v>
      </c>
      <c r="D315" s="34" t="s">
        <v>10</v>
      </c>
      <c r="E315" s="34" t="s">
        <v>11</v>
      </c>
      <c r="F315" s="55" t="s">
        <v>129</v>
      </c>
      <c r="G315" s="34" t="s">
        <v>60</v>
      </c>
      <c r="H315" s="34" t="s">
        <v>9</v>
      </c>
      <c r="I315" s="34" t="s">
        <v>10</v>
      </c>
      <c r="J315" s="34" t="s">
        <v>10</v>
      </c>
      <c r="K315" s="34" t="s">
        <v>11</v>
      </c>
      <c r="L315" s="55" t="s">
        <v>129</v>
      </c>
      <c r="M315" s="82"/>
      <c r="N315" s="56" t="s">
        <v>60</v>
      </c>
      <c r="O315" s="57" t="s">
        <v>9</v>
      </c>
      <c r="P315" s="57" t="s">
        <v>10</v>
      </c>
      <c r="Q315" s="57" t="s">
        <v>11</v>
      </c>
      <c r="R315" s="34" t="s">
        <v>61</v>
      </c>
      <c r="S315" s="57" t="s">
        <v>60</v>
      </c>
      <c r="T315" s="57" t="s">
        <v>9</v>
      </c>
      <c r="U315" s="57" t="s">
        <v>10</v>
      </c>
      <c r="V315" s="57" t="s">
        <v>11</v>
      </c>
      <c r="W315" s="55" t="s">
        <v>129</v>
      </c>
    </row>
    <row r="316" spans="2:23" ht="12.75">
      <c r="B316" s="81">
        <v>1</v>
      </c>
      <c r="C316" s="34" t="s">
        <v>14</v>
      </c>
      <c r="D316" s="61"/>
      <c r="E316" s="83"/>
      <c r="F316" s="84"/>
      <c r="G316" s="34">
        <v>42</v>
      </c>
      <c r="H316" s="34" t="s">
        <v>63</v>
      </c>
      <c r="I316" s="24"/>
      <c r="J316" s="24"/>
      <c r="K316" s="34"/>
      <c r="L316" s="60"/>
      <c r="M316" s="32"/>
      <c r="N316" s="56">
        <v>1</v>
      </c>
      <c r="O316" s="57" t="s">
        <v>177</v>
      </c>
      <c r="P316" s="59"/>
      <c r="Q316" s="57"/>
      <c r="R316" s="57"/>
      <c r="S316" s="57">
        <v>42</v>
      </c>
      <c r="T316" s="57"/>
      <c r="U316" s="24"/>
      <c r="V316" s="24"/>
      <c r="W316" s="23"/>
    </row>
    <row r="317" spans="2:23" ht="12.75">
      <c r="B317" s="81">
        <v>2</v>
      </c>
      <c r="C317" s="34" t="s">
        <v>15</v>
      </c>
      <c r="D317" s="34"/>
      <c r="E317" s="34"/>
      <c r="F317" s="34"/>
      <c r="G317" s="34">
        <v>43</v>
      </c>
      <c r="H317" s="34" t="s">
        <v>64</v>
      </c>
      <c r="I317" s="24"/>
      <c r="J317" s="24"/>
      <c r="K317" s="34"/>
      <c r="L317" s="60"/>
      <c r="M317" s="84"/>
      <c r="N317" s="56">
        <v>2</v>
      </c>
      <c r="O317" s="57" t="s">
        <v>143</v>
      </c>
      <c r="P317" s="57"/>
      <c r="Q317" s="59"/>
      <c r="R317" s="57"/>
      <c r="S317" s="57">
        <v>43</v>
      </c>
      <c r="T317" s="57"/>
      <c r="U317" s="34"/>
      <c r="V317" s="34"/>
      <c r="W317" s="60"/>
    </row>
    <row r="318" spans="2:23" ht="12.75">
      <c r="B318" s="81">
        <v>3</v>
      </c>
      <c r="C318" s="34" t="s">
        <v>16</v>
      </c>
      <c r="D318" s="34"/>
      <c r="E318" s="34"/>
      <c r="F318" s="34"/>
      <c r="G318" s="34">
        <v>44</v>
      </c>
      <c r="H318" s="34" t="s">
        <v>65</v>
      </c>
      <c r="I318" s="24"/>
      <c r="J318" s="24"/>
      <c r="K318" s="34"/>
      <c r="L318" s="60"/>
      <c r="M318" s="84"/>
      <c r="N318" s="56">
        <v>3</v>
      </c>
      <c r="O318" s="57"/>
      <c r="P318" s="59"/>
      <c r="Q318" s="57"/>
      <c r="R318" s="57"/>
      <c r="S318" s="57">
        <v>44</v>
      </c>
      <c r="T318" s="57"/>
      <c r="U318" s="34"/>
      <c r="V318" s="34"/>
      <c r="W318" s="60"/>
    </row>
    <row r="319" spans="2:23" ht="12.75">
      <c r="B319" s="81">
        <v>4</v>
      </c>
      <c r="C319" s="34" t="s">
        <v>17</v>
      </c>
      <c r="D319" s="34"/>
      <c r="E319" s="34"/>
      <c r="F319" s="34"/>
      <c r="G319" s="34">
        <v>45</v>
      </c>
      <c r="H319" s="34" t="s">
        <v>66</v>
      </c>
      <c r="I319" s="24"/>
      <c r="J319" s="24"/>
      <c r="K319" s="34"/>
      <c r="L319" s="60"/>
      <c r="M319" s="84"/>
      <c r="N319" s="56">
        <v>4</v>
      </c>
      <c r="O319" s="57"/>
      <c r="P319" s="59"/>
      <c r="Q319" s="57"/>
      <c r="R319" s="57"/>
      <c r="S319" s="57">
        <v>45</v>
      </c>
      <c r="T319" s="57"/>
      <c r="U319" s="34"/>
      <c r="V319" s="34"/>
      <c r="W319" s="60"/>
    </row>
    <row r="320" spans="2:23" ht="12.75">
      <c r="B320" s="81">
        <v>5</v>
      </c>
      <c r="C320" s="34" t="s">
        <v>18</v>
      </c>
      <c r="D320" s="34"/>
      <c r="E320" s="34"/>
      <c r="F320" s="34"/>
      <c r="G320" s="34">
        <v>46</v>
      </c>
      <c r="H320" s="34" t="s">
        <v>67</v>
      </c>
      <c r="I320" s="24"/>
      <c r="J320" s="24"/>
      <c r="K320" s="34"/>
      <c r="L320" s="60"/>
      <c r="M320" s="84"/>
      <c r="N320" s="56">
        <v>5</v>
      </c>
      <c r="O320" s="57"/>
      <c r="P320" s="59"/>
      <c r="Q320" s="57"/>
      <c r="R320" s="57"/>
      <c r="S320" s="57">
        <v>46</v>
      </c>
      <c r="T320" s="57"/>
      <c r="U320" s="34"/>
      <c r="V320" s="34"/>
      <c r="W320" s="60"/>
    </row>
    <row r="321" spans="2:23" ht="12.75">
      <c r="B321" s="81">
        <v>6</v>
      </c>
      <c r="C321" s="34" t="s">
        <v>19</v>
      </c>
      <c r="D321" s="34"/>
      <c r="E321" s="34"/>
      <c r="F321" s="34"/>
      <c r="G321" s="34">
        <v>47</v>
      </c>
      <c r="H321" s="34" t="s">
        <v>68</v>
      </c>
      <c r="I321" s="24"/>
      <c r="J321" s="24"/>
      <c r="K321" s="34"/>
      <c r="L321" s="60"/>
      <c r="M321" s="84"/>
      <c r="N321" s="56">
        <v>6</v>
      </c>
      <c r="O321" s="57"/>
      <c r="P321" s="59"/>
      <c r="Q321" s="57"/>
      <c r="R321" s="57"/>
      <c r="S321" s="57">
        <v>47</v>
      </c>
      <c r="T321" s="57"/>
      <c r="U321" s="34"/>
      <c r="V321" s="34"/>
      <c r="W321" s="60"/>
    </row>
    <row r="322" spans="2:23" ht="12.75">
      <c r="B322" s="81">
        <v>7</v>
      </c>
      <c r="C322" s="34" t="s">
        <v>20</v>
      </c>
      <c r="D322" s="61"/>
      <c r="E322" s="34"/>
      <c r="F322" s="34"/>
      <c r="G322" s="34">
        <v>48</v>
      </c>
      <c r="H322" s="34" t="s">
        <v>69</v>
      </c>
      <c r="I322" s="24"/>
      <c r="J322" s="24"/>
      <c r="K322" s="34"/>
      <c r="L322" s="60"/>
      <c r="M322" s="84"/>
      <c r="N322" s="56">
        <v>7</v>
      </c>
      <c r="O322" s="57"/>
      <c r="P322" s="59"/>
      <c r="Q322" s="57"/>
      <c r="R322" s="57"/>
      <c r="S322" s="57">
        <v>48</v>
      </c>
      <c r="T322" s="57"/>
      <c r="U322" s="34"/>
      <c r="V322" s="34"/>
      <c r="W322" s="60"/>
    </row>
    <row r="323" spans="2:23" ht="12.75">
      <c r="B323" s="81">
        <v>8</v>
      </c>
      <c r="C323" s="34" t="s">
        <v>21</v>
      </c>
      <c r="D323" s="34"/>
      <c r="E323" s="34"/>
      <c r="F323" s="34"/>
      <c r="G323" s="34">
        <v>49</v>
      </c>
      <c r="H323" s="34" t="s">
        <v>47</v>
      </c>
      <c r="I323" s="34"/>
      <c r="J323" s="61"/>
      <c r="K323" s="34"/>
      <c r="L323" s="60"/>
      <c r="M323" s="84"/>
      <c r="N323" s="56">
        <v>8</v>
      </c>
      <c r="O323" s="57"/>
      <c r="P323" s="57"/>
      <c r="Q323" s="59"/>
      <c r="R323" s="57"/>
      <c r="S323" s="57">
        <v>49</v>
      </c>
      <c r="T323" s="57"/>
      <c r="U323" s="34"/>
      <c r="V323" s="34"/>
      <c r="W323" s="60"/>
    </row>
    <row r="324" spans="2:23" ht="12.75">
      <c r="B324" s="81">
        <v>9</v>
      </c>
      <c r="C324" s="34" t="s">
        <v>22</v>
      </c>
      <c r="D324" s="34"/>
      <c r="E324" s="34"/>
      <c r="F324" s="34"/>
      <c r="G324" s="34">
        <v>50</v>
      </c>
      <c r="H324" s="34" t="s">
        <v>48</v>
      </c>
      <c r="I324" s="24"/>
      <c r="J324" s="24"/>
      <c r="K324" s="34"/>
      <c r="L324" s="60"/>
      <c r="M324" s="84"/>
      <c r="N324" s="56">
        <v>9</v>
      </c>
      <c r="O324" s="57"/>
      <c r="P324" s="59"/>
      <c r="Q324" s="57"/>
      <c r="R324" s="57"/>
      <c r="S324" s="57">
        <v>50</v>
      </c>
      <c r="T324" s="57"/>
      <c r="U324" s="34"/>
      <c r="V324" s="34"/>
      <c r="W324" s="60"/>
    </row>
    <row r="325" spans="2:23" ht="12.75">
      <c r="B325" s="81">
        <v>10</v>
      </c>
      <c r="C325" s="34" t="s">
        <v>23</v>
      </c>
      <c r="D325" s="34"/>
      <c r="E325" s="34"/>
      <c r="F325" s="34"/>
      <c r="G325" s="34">
        <v>51</v>
      </c>
      <c r="H325" s="34" t="s">
        <v>49</v>
      </c>
      <c r="I325" s="24"/>
      <c r="J325" s="24"/>
      <c r="K325" s="34"/>
      <c r="L325" s="60"/>
      <c r="M325" s="84"/>
      <c r="N325" s="56">
        <v>10</v>
      </c>
      <c r="O325" s="57"/>
      <c r="P325" s="59"/>
      <c r="Q325" s="57"/>
      <c r="R325" s="57"/>
      <c r="S325" s="57">
        <v>51</v>
      </c>
      <c r="T325" s="57"/>
      <c r="U325" s="34"/>
      <c r="V325" s="34"/>
      <c r="W325" s="60"/>
    </row>
    <row r="326" spans="2:23" ht="12.75">
      <c r="B326" s="81">
        <v>11</v>
      </c>
      <c r="C326" s="34" t="s">
        <v>24</v>
      </c>
      <c r="D326" s="34"/>
      <c r="E326" s="34"/>
      <c r="F326" s="34"/>
      <c r="G326" s="34">
        <v>52</v>
      </c>
      <c r="H326" s="34" t="s">
        <v>70</v>
      </c>
      <c r="I326" s="24"/>
      <c r="J326" s="24"/>
      <c r="K326" s="34"/>
      <c r="L326" s="60"/>
      <c r="M326" s="84"/>
      <c r="N326" s="56">
        <v>11</v>
      </c>
      <c r="O326" s="57"/>
      <c r="P326" s="59"/>
      <c r="Q326" s="57"/>
      <c r="R326" s="57"/>
      <c r="S326" s="57">
        <v>52</v>
      </c>
      <c r="T326" s="57"/>
      <c r="U326" s="34"/>
      <c r="V326" s="34"/>
      <c r="W326" s="23"/>
    </row>
    <row r="327" spans="2:23" ht="12.75">
      <c r="B327" s="81">
        <v>12</v>
      </c>
      <c r="C327" s="34" t="s">
        <v>25</v>
      </c>
      <c r="D327" s="34"/>
      <c r="E327" s="34"/>
      <c r="F327" s="34"/>
      <c r="H327" s="34"/>
      <c r="I327" s="24"/>
      <c r="J327" s="24"/>
      <c r="K327" s="34"/>
      <c r="L327" s="60"/>
      <c r="M327" s="84"/>
      <c r="N327" s="56">
        <v>12</v>
      </c>
      <c r="O327" s="57"/>
      <c r="P327" s="57"/>
      <c r="Q327" s="57"/>
      <c r="R327" s="57"/>
      <c r="S327" s="57">
        <v>53</v>
      </c>
      <c r="T327" s="57"/>
      <c r="U327" s="24"/>
      <c r="V327" s="24"/>
      <c r="W327" s="23"/>
    </row>
    <row r="328" spans="2:23" ht="12.75">
      <c r="B328" s="81">
        <v>13</v>
      </c>
      <c r="C328" s="34" t="s">
        <v>26</v>
      </c>
      <c r="D328" s="34"/>
      <c r="E328" s="34"/>
      <c r="F328" s="34"/>
      <c r="H328" s="34"/>
      <c r="I328" s="24"/>
      <c r="J328" s="24"/>
      <c r="K328" s="34"/>
      <c r="L328" s="60"/>
      <c r="M328" s="84"/>
      <c r="N328" s="56">
        <v>13</v>
      </c>
      <c r="O328" s="57"/>
      <c r="P328" s="57"/>
      <c r="Q328" s="57"/>
      <c r="R328" s="57"/>
      <c r="S328" s="57">
        <v>54</v>
      </c>
      <c r="T328" s="57"/>
      <c r="U328" s="24"/>
      <c r="V328" s="24"/>
      <c r="W328" s="60"/>
    </row>
    <row r="329" spans="2:23" ht="12.75">
      <c r="B329" s="81">
        <v>14</v>
      </c>
      <c r="C329" s="34" t="s">
        <v>71</v>
      </c>
      <c r="D329" s="34"/>
      <c r="E329" s="34"/>
      <c r="F329" s="34"/>
      <c r="G329" s="34">
        <v>53</v>
      </c>
      <c r="H329" s="34" t="s">
        <v>72</v>
      </c>
      <c r="I329" s="24"/>
      <c r="J329" s="34"/>
      <c r="K329" s="34"/>
      <c r="L329" s="60"/>
      <c r="M329" s="84"/>
      <c r="N329" s="56">
        <v>14</v>
      </c>
      <c r="O329" s="57"/>
      <c r="P329" s="57"/>
      <c r="Q329" s="57"/>
      <c r="R329" s="57"/>
      <c r="S329" s="57">
        <v>55</v>
      </c>
      <c r="T329" s="57"/>
      <c r="U329" s="34"/>
      <c r="V329" s="34"/>
      <c r="W329" s="60"/>
    </row>
    <row r="330" spans="2:23" ht="12.75">
      <c r="B330" s="81">
        <v>15</v>
      </c>
      <c r="C330" s="34" t="s">
        <v>73</v>
      </c>
      <c r="D330" s="34"/>
      <c r="E330" s="34"/>
      <c r="F330" s="34"/>
      <c r="G330" s="34">
        <v>54</v>
      </c>
      <c r="H330" s="34" t="s">
        <v>74</v>
      </c>
      <c r="I330" s="24"/>
      <c r="J330" s="34"/>
      <c r="K330" s="34"/>
      <c r="L330" s="60"/>
      <c r="M330" s="84"/>
      <c r="N330" s="56">
        <v>15</v>
      </c>
      <c r="O330" s="57"/>
      <c r="P330" s="57"/>
      <c r="Q330" s="57"/>
      <c r="R330" s="57"/>
      <c r="S330" s="57">
        <v>56</v>
      </c>
      <c r="T330" s="57"/>
      <c r="U330" s="34"/>
      <c r="V330" s="34"/>
      <c r="W330" s="60"/>
    </row>
    <row r="331" spans="2:23" ht="12.75">
      <c r="B331" s="81">
        <v>16</v>
      </c>
      <c r="C331" s="34" t="s">
        <v>28</v>
      </c>
      <c r="D331" s="34"/>
      <c r="E331" s="34"/>
      <c r="F331" s="34"/>
      <c r="G331" s="34">
        <v>55</v>
      </c>
      <c r="H331" s="34" t="s">
        <v>50</v>
      </c>
      <c r="I331" s="34"/>
      <c r="J331" s="61"/>
      <c r="K331" s="34"/>
      <c r="L331" s="60"/>
      <c r="M331" s="84"/>
      <c r="N331" s="56">
        <v>16</v>
      </c>
      <c r="O331" s="57"/>
      <c r="P331" s="57"/>
      <c r="Q331" s="57"/>
      <c r="R331" s="57"/>
      <c r="S331" s="57">
        <v>57</v>
      </c>
      <c r="T331" s="57"/>
      <c r="U331" s="34"/>
      <c r="V331" s="34"/>
      <c r="W331" s="60"/>
    </row>
    <row r="332" spans="2:23" ht="12.75">
      <c r="B332" s="81">
        <v>17</v>
      </c>
      <c r="C332" s="34" t="s">
        <v>29</v>
      </c>
      <c r="D332" s="34"/>
      <c r="E332" s="34"/>
      <c r="F332" s="34"/>
      <c r="G332" s="34">
        <v>56</v>
      </c>
      <c r="H332" s="34" t="s">
        <v>76</v>
      </c>
      <c r="I332" s="24"/>
      <c r="J332" s="61"/>
      <c r="K332" s="34"/>
      <c r="L332" s="60"/>
      <c r="M332" s="84"/>
      <c r="N332" s="56">
        <v>17</v>
      </c>
      <c r="O332" s="57"/>
      <c r="P332" s="57"/>
      <c r="Q332" s="57"/>
      <c r="R332" s="57"/>
      <c r="S332" s="57">
        <v>58</v>
      </c>
      <c r="T332" s="57"/>
      <c r="U332" s="34"/>
      <c r="V332" s="34"/>
      <c r="W332" s="60"/>
    </row>
    <row r="333" spans="2:23" ht="12.75">
      <c r="B333" s="81">
        <v>18</v>
      </c>
      <c r="C333" s="34" t="s">
        <v>30</v>
      </c>
      <c r="D333" s="34"/>
      <c r="E333" s="34"/>
      <c r="F333" s="34"/>
      <c r="G333" s="34">
        <v>57</v>
      </c>
      <c r="H333" s="34" t="s">
        <v>51</v>
      </c>
      <c r="I333" s="24"/>
      <c r="J333" s="61"/>
      <c r="K333" s="34"/>
      <c r="L333" s="60"/>
      <c r="M333" s="84"/>
      <c r="N333" s="56">
        <v>18</v>
      </c>
      <c r="O333" s="57"/>
      <c r="P333" s="57"/>
      <c r="Q333" s="57"/>
      <c r="R333" s="57"/>
      <c r="S333" s="57">
        <v>59</v>
      </c>
      <c r="T333" s="57"/>
      <c r="U333" s="34"/>
      <c r="V333" s="34"/>
      <c r="W333" s="60"/>
    </row>
    <row r="334" spans="2:23" ht="12.75">
      <c r="B334" s="81">
        <v>19</v>
      </c>
      <c r="C334" s="34" t="s">
        <v>31</v>
      </c>
      <c r="D334" s="34"/>
      <c r="E334" s="34"/>
      <c r="F334" s="34"/>
      <c r="G334" s="34">
        <v>58</v>
      </c>
      <c r="H334" s="34" t="s">
        <v>77</v>
      </c>
      <c r="I334" s="24"/>
      <c r="J334" s="34"/>
      <c r="K334" s="34"/>
      <c r="L334" s="60"/>
      <c r="M334" s="84"/>
      <c r="N334" s="56">
        <v>19</v>
      </c>
      <c r="O334" s="57"/>
      <c r="P334" s="57"/>
      <c r="Q334" s="57"/>
      <c r="R334" s="57"/>
      <c r="S334" s="57">
        <v>60</v>
      </c>
      <c r="T334" s="57"/>
      <c r="U334" s="34"/>
      <c r="V334" s="34"/>
      <c r="W334" s="60"/>
    </row>
    <row r="335" spans="2:23" ht="12.75">
      <c r="B335" s="81">
        <v>20</v>
      </c>
      <c r="C335" s="34" t="s">
        <v>32</v>
      </c>
      <c r="D335" s="34"/>
      <c r="E335" s="34"/>
      <c r="F335" s="34"/>
      <c r="G335" s="34">
        <v>59</v>
      </c>
      <c r="H335" s="34" t="s">
        <v>75</v>
      </c>
      <c r="I335" s="24"/>
      <c r="J335" s="24"/>
      <c r="K335" s="34"/>
      <c r="L335" s="60"/>
      <c r="M335" s="84"/>
      <c r="N335" s="56">
        <v>20</v>
      </c>
      <c r="O335" s="57"/>
      <c r="P335" s="57"/>
      <c r="Q335" s="57"/>
      <c r="R335" s="57"/>
      <c r="S335" s="57">
        <v>61</v>
      </c>
      <c r="T335" s="57"/>
      <c r="U335" s="34"/>
      <c r="V335" s="34"/>
      <c r="W335" s="60"/>
    </row>
    <row r="336" spans="2:23" ht="12.75">
      <c r="B336" s="81">
        <v>21</v>
      </c>
      <c r="C336" s="34" t="s">
        <v>33</v>
      </c>
      <c r="D336" s="34"/>
      <c r="E336" s="34"/>
      <c r="F336" s="34"/>
      <c r="G336" s="34">
        <v>60</v>
      </c>
      <c r="H336" s="34" t="s">
        <v>53</v>
      </c>
      <c r="I336" s="24"/>
      <c r="J336" s="24"/>
      <c r="K336" s="34"/>
      <c r="L336" s="60"/>
      <c r="M336" s="84"/>
      <c r="N336" s="56">
        <v>21</v>
      </c>
      <c r="O336" s="57"/>
      <c r="P336" s="57"/>
      <c r="Q336" s="57"/>
      <c r="R336" s="57"/>
      <c r="S336" s="57">
        <v>62</v>
      </c>
      <c r="T336" s="57"/>
      <c r="U336" s="34"/>
      <c r="V336" s="34"/>
      <c r="W336" s="60"/>
    </row>
    <row r="337" spans="2:23" ht="12.75">
      <c r="B337" s="81">
        <v>22</v>
      </c>
      <c r="C337" s="34" t="s">
        <v>34</v>
      </c>
      <c r="D337" s="34"/>
      <c r="E337" s="34"/>
      <c r="F337" s="34"/>
      <c r="G337" s="34">
        <v>61</v>
      </c>
      <c r="H337" s="34" t="s">
        <v>78</v>
      </c>
      <c r="I337" s="24"/>
      <c r="J337" s="24"/>
      <c r="K337" s="34"/>
      <c r="L337" s="60"/>
      <c r="M337" s="84"/>
      <c r="N337" s="56">
        <v>22</v>
      </c>
      <c r="O337" s="57"/>
      <c r="P337" s="57"/>
      <c r="Q337" s="57"/>
      <c r="R337" s="57"/>
      <c r="S337" s="57">
        <v>63</v>
      </c>
      <c r="T337" s="57"/>
      <c r="U337" s="34"/>
      <c r="V337" s="34"/>
      <c r="W337" s="60"/>
    </row>
    <row r="338" spans="2:23" ht="12.75">
      <c r="B338" s="81">
        <v>23</v>
      </c>
      <c r="C338" s="34" t="s">
        <v>79</v>
      </c>
      <c r="D338" s="34"/>
      <c r="E338" s="34"/>
      <c r="F338" s="34"/>
      <c r="G338" s="34">
        <v>62</v>
      </c>
      <c r="H338" s="34"/>
      <c r="I338" s="24"/>
      <c r="J338" s="24"/>
      <c r="K338" s="34"/>
      <c r="L338" s="60"/>
      <c r="M338" s="84"/>
      <c r="N338" s="56">
        <v>23</v>
      </c>
      <c r="O338" s="57"/>
      <c r="P338" s="57"/>
      <c r="Q338" s="57"/>
      <c r="R338" s="57"/>
      <c r="S338" s="57">
        <v>64</v>
      </c>
      <c r="T338" s="57"/>
      <c r="U338" s="34"/>
      <c r="V338" s="34"/>
      <c r="W338" s="60"/>
    </row>
    <row r="339" spans="2:23" ht="12.75">
      <c r="B339" s="81">
        <v>24</v>
      </c>
      <c r="C339" s="34" t="s">
        <v>80</v>
      </c>
      <c r="D339" s="61"/>
      <c r="E339" s="34"/>
      <c r="F339" s="34"/>
      <c r="G339" s="34"/>
      <c r="H339" s="34"/>
      <c r="I339" s="24"/>
      <c r="J339" s="24"/>
      <c r="K339" s="34"/>
      <c r="L339" s="60"/>
      <c r="M339" s="84"/>
      <c r="N339" s="56">
        <v>24</v>
      </c>
      <c r="O339" s="57"/>
      <c r="P339" s="57"/>
      <c r="Q339" s="57"/>
      <c r="R339" s="57"/>
      <c r="S339" s="57">
        <v>65</v>
      </c>
      <c r="T339" s="57"/>
      <c r="U339" s="34"/>
      <c r="V339" s="34"/>
      <c r="W339" s="60"/>
    </row>
    <row r="340" spans="2:23" ht="12.75">
      <c r="B340" s="81">
        <v>25</v>
      </c>
      <c r="C340" s="34" t="s">
        <v>81</v>
      </c>
      <c r="D340" s="34"/>
      <c r="E340" s="34"/>
      <c r="F340" s="34"/>
      <c r="H340" s="34"/>
      <c r="I340" s="24"/>
      <c r="J340" s="24"/>
      <c r="K340" s="34"/>
      <c r="L340" s="60"/>
      <c r="M340" s="84"/>
      <c r="N340" s="56">
        <v>25</v>
      </c>
      <c r="O340" s="57"/>
      <c r="P340" s="57"/>
      <c r="Q340" s="57"/>
      <c r="R340" s="57"/>
      <c r="S340" s="57">
        <v>66</v>
      </c>
      <c r="T340" s="57"/>
      <c r="U340" s="34"/>
      <c r="V340" s="34"/>
      <c r="W340" s="60"/>
    </row>
    <row r="341" spans="2:23" ht="12.75">
      <c r="B341" s="81">
        <v>26</v>
      </c>
      <c r="C341" s="34" t="s">
        <v>35</v>
      </c>
      <c r="D341" s="61"/>
      <c r="E341" s="34"/>
      <c r="F341" s="34"/>
      <c r="H341" s="34"/>
      <c r="I341" s="24"/>
      <c r="J341" s="24"/>
      <c r="K341" s="34"/>
      <c r="L341" s="60"/>
      <c r="M341" s="84"/>
      <c r="N341" s="56">
        <v>26</v>
      </c>
      <c r="O341" s="57"/>
      <c r="P341" s="57"/>
      <c r="Q341" s="57"/>
      <c r="R341" s="57"/>
      <c r="S341" s="57">
        <v>67</v>
      </c>
      <c r="T341" s="57"/>
      <c r="U341" s="34"/>
      <c r="V341" s="34"/>
      <c r="W341" s="60"/>
    </row>
    <row r="342" spans="2:23" ht="12.75">
      <c r="B342" s="81">
        <v>27</v>
      </c>
      <c r="C342" s="34" t="s">
        <v>36</v>
      </c>
      <c r="D342" s="34"/>
      <c r="E342" s="34"/>
      <c r="F342" s="34"/>
      <c r="G342" s="34">
        <v>63</v>
      </c>
      <c r="H342" s="34" t="s">
        <v>82</v>
      </c>
      <c r="I342" s="24"/>
      <c r="J342" s="24"/>
      <c r="K342" s="34"/>
      <c r="L342" s="60"/>
      <c r="M342" s="84"/>
      <c r="N342" s="56">
        <v>27</v>
      </c>
      <c r="O342" s="57"/>
      <c r="P342" s="57"/>
      <c r="Q342" s="57"/>
      <c r="R342" s="57"/>
      <c r="S342" s="57">
        <v>68</v>
      </c>
      <c r="T342" s="57"/>
      <c r="U342" s="34"/>
      <c r="V342" s="34"/>
      <c r="W342" s="60"/>
    </row>
    <row r="343" spans="2:23" ht="12.75">
      <c r="B343" s="81">
        <v>28</v>
      </c>
      <c r="C343" s="34" t="s">
        <v>37</v>
      </c>
      <c r="D343" s="34"/>
      <c r="E343" s="34"/>
      <c r="F343" s="34"/>
      <c r="G343" s="34">
        <v>64</v>
      </c>
      <c r="H343" s="34" t="s">
        <v>83</v>
      </c>
      <c r="I343" s="34"/>
      <c r="J343" s="34"/>
      <c r="K343" s="24"/>
      <c r="L343" s="60"/>
      <c r="M343" s="84"/>
      <c r="N343" s="56">
        <v>28</v>
      </c>
      <c r="O343" s="57"/>
      <c r="P343" s="57"/>
      <c r="Q343" s="57"/>
      <c r="R343" s="57"/>
      <c r="S343" s="57">
        <v>69</v>
      </c>
      <c r="T343" s="57"/>
      <c r="U343" s="34"/>
      <c r="V343" s="34"/>
      <c r="W343" s="60"/>
    </row>
    <row r="344" spans="2:23" ht="12.75">
      <c r="B344" s="81">
        <v>29</v>
      </c>
      <c r="C344" s="34" t="s">
        <v>38</v>
      </c>
      <c r="D344" s="34"/>
      <c r="E344" s="34"/>
      <c r="F344" s="34"/>
      <c r="G344" s="34">
        <v>65</v>
      </c>
      <c r="H344" s="34" t="s">
        <v>84</v>
      </c>
      <c r="I344" s="24"/>
      <c r="J344" s="34"/>
      <c r="K344" s="34"/>
      <c r="L344" s="60"/>
      <c r="M344" s="84"/>
      <c r="N344" s="56">
        <v>29</v>
      </c>
      <c r="O344" s="57"/>
      <c r="P344" s="57"/>
      <c r="Q344" s="57"/>
      <c r="R344" s="57"/>
      <c r="S344" s="57">
        <v>70</v>
      </c>
      <c r="T344" s="57"/>
      <c r="U344" s="34"/>
      <c r="V344" s="34"/>
      <c r="W344" s="60"/>
    </row>
    <row r="345" spans="2:23" ht="12.75">
      <c r="B345" s="81">
        <v>30</v>
      </c>
      <c r="C345" s="34" t="s">
        <v>39</v>
      </c>
      <c r="D345" s="61"/>
      <c r="E345" s="34"/>
      <c r="F345" s="34"/>
      <c r="G345" s="34">
        <v>66</v>
      </c>
      <c r="H345" s="34" t="s">
        <v>85</v>
      </c>
      <c r="I345" s="24"/>
      <c r="J345" s="24"/>
      <c r="K345" s="34"/>
      <c r="L345" s="60"/>
      <c r="M345" s="84"/>
      <c r="N345" s="56">
        <v>30</v>
      </c>
      <c r="O345" s="57"/>
      <c r="P345" s="57"/>
      <c r="Q345" s="57"/>
      <c r="R345" s="57"/>
      <c r="S345" s="57">
        <v>71</v>
      </c>
      <c r="T345" s="57"/>
      <c r="U345" s="34"/>
      <c r="V345" s="34"/>
      <c r="W345" s="60"/>
    </row>
    <row r="346" spans="2:23" ht="12.75">
      <c r="B346" s="81">
        <v>31</v>
      </c>
      <c r="C346" s="34" t="s">
        <v>86</v>
      </c>
      <c r="D346" s="61"/>
      <c r="E346" s="34"/>
      <c r="F346" s="34"/>
      <c r="G346" s="34">
        <v>67</v>
      </c>
      <c r="H346" s="34" t="s">
        <v>87</v>
      </c>
      <c r="I346" s="24"/>
      <c r="J346" s="24"/>
      <c r="K346" s="34"/>
      <c r="L346" s="60"/>
      <c r="M346" s="84"/>
      <c r="N346" s="56">
        <v>31</v>
      </c>
      <c r="O346" s="57"/>
      <c r="P346" s="57"/>
      <c r="Q346" s="57"/>
      <c r="R346" s="57"/>
      <c r="S346" s="57">
        <v>72</v>
      </c>
      <c r="T346" s="57"/>
      <c r="U346" s="34"/>
      <c r="V346" s="34"/>
      <c r="W346" s="60"/>
    </row>
    <row r="347" spans="2:23" ht="12.75">
      <c r="B347" s="81">
        <v>32</v>
      </c>
      <c r="C347" s="34" t="s">
        <v>40</v>
      </c>
      <c r="D347" s="34"/>
      <c r="E347" s="34"/>
      <c r="F347" s="34"/>
      <c r="G347" s="34">
        <v>68</v>
      </c>
      <c r="H347" s="34" t="s">
        <v>88</v>
      </c>
      <c r="I347" s="24"/>
      <c r="J347" s="34"/>
      <c r="K347" s="34"/>
      <c r="L347" s="60"/>
      <c r="M347" s="84"/>
      <c r="N347" s="56">
        <v>32</v>
      </c>
      <c r="O347" s="34"/>
      <c r="P347" s="34"/>
      <c r="Q347" s="34"/>
      <c r="R347" s="34"/>
      <c r="S347" s="57">
        <v>73</v>
      </c>
      <c r="T347" s="57"/>
      <c r="U347" s="34"/>
      <c r="V347" s="34"/>
      <c r="W347" s="60"/>
    </row>
    <row r="348" spans="2:23" ht="12.75">
      <c r="B348" s="81"/>
      <c r="C348" s="34"/>
      <c r="D348" s="34"/>
      <c r="E348" s="34"/>
      <c r="F348" s="34"/>
      <c r="G348" s="34"/>
      <c r="H348" s="34"/>
      <c r="I348" s="24"/>
      <c r="J348" s="24"/>
      <c r="K348" s="34"/>
      <c r="L348" s="60"/>
      <c r="M348" s="84"/>
      <c r="N348" s="56">
        <v>33</v>
      </c>
      <c r="O348" s="34"/>
      <c r="P348" s="34"/>
      <c r="Q348" s="34"/>
      <c r="R348" s="34"/>
      <c r="S348" s="57">
        <v>74</v>
      </c>
      <c r="T348" s="57"/>
      <c r="U348" s="34"/>
      <c r="V348" s="34"/>
      <c r="W348" s="60"/>
    </row>
    <row r="349" spans="2:23" ht="12.75">
      <c r="B349" s="81"/>
      <c r="C349" s="34"/>
      <c r="D349" s="34"/>
      <c r="E349" s="34"/>
      <c r="F349" s="34"/>
      <c r="G349" s="34"/>
      <c r="H349" s="34"/>
      <c r="I349" s="24"/>
      <c r="J349" s="24"/>
      <c r="K349" s="34"/>
      <c r="L349" s="60"/>
      <c r="M349" s="84"/>
      <c r="N349" s="56">
        <v>34</v>
      </c>
      <c r="O349" s="34"/>
      <c r="P349" s="34"/>
      <c r="Q349" s="34"/>
      <c r="R349" s="34"/>
      <c r="S349" s="57">
        <v>75</v>
      </c>
      <c r="T349" s="57"/>
      <c r="U349" s="34"/>
      <c r="V349" s="34"/>
      <c r="W349" s="60"/>
    </row>
    <row r="350" spans="2:23" ht="12.75">
      <c r="B350" s="81"/>
      <c r="C350" s="32"/>
      <c r="D350" s="34"/>
      <c r="E350" s="34"/>
      <c r="F350" s="34"/>
      <c r="G350" s="34"/>
      <c r="H350" s="34"/>
      <c r="I350" s="24"/>
      <c r="J350" s="24"/>
      <c r="K350" s="34"/>
      <c r="L350" s="60"/>
      <c r="M350" s="84"/>
      <c r="N350" s="56">
        <v>35</v>
      </c>
      <c r="O350" s="34"/>
      <c r="P350" s="34"/>
      <c r="Q350" s="34"/>
      <c r="R350" s="34"/>
      <c r="S350" s="57">
        <v>76</v>
      </c>
      <c r="T350" s="57"/>
      <c r="U350" s="34"/>
      <c r="V350" s="34"/>
      <c r="W350" s="60"/>
    </row>
    <row r="351" spans="2:23" ht="12.75">
      <c r="B351" s="81">
        <v>33</v>
      </c>
      <c r="C351" s="34" t="s">
        <v>41</v>
      </c>
      <c r="D351" s="34"/>
      <c r="E351" s="61"/>
      <c r="F351" s="34"/>
      <c r="G351" s="34"/>
      <c r="H351" s="34"/>
      <c r="I351" s="24"/>
      <c r="J351" s="24"/>
      <c r="K351" s="34"/>
      <c r="L351" s="60"/>
      <c r="M351" s="84"/>
      <c r="N351" s="56">
        <v>36</v>
      </c>
      <c r="O351" s="34"/>
      <c r="P351" s="34"/>
      <c r="Q351" s="34"/>
      <c r="R351" s="34"/>
      <c r="S351" s="57">
        <v>77</v>
      </c>
      <c r="T351" s="57"/>
      <c r="U351" s="34"/>
      <c r="V351" s="34"/>
      <c r="W351" s="60"/>
    </row>
    <row r="352" spans="2:23" ht="12.75">
      <c r="B352" s="81">
        <v>34</v>
      </c>
      <c r="C352" s="34" t="s">
        <v>42</v>
      </c>
      <c r="D352" s="34"/>
      <c r="E352" s="34"/>
      <c r="F352" s="34"/>
      <c r="G352" s="34"/>
      <c r="H352" s="34" t="s">
        <v>89</v>
      </c>
      <c r="I352" s="34">
        <f>U357</f>
        <v>0</v>
      </c>
      <c r="J352" s="34">
        <f>U357</f>
        <v>0</v>
      </c>
      <c r="K352" s="34">
        <f>V357</f>
        <v>0</v>
      </c>
      <c r="L352" s="60"/>
      <c r="M352" s="84"/>
      <c r="N352" s="56">
        <v>37</v>
      </c>
      <c r="O352" s="34"/>
      <c r="P352" s="34"/>
      <c r="Q352" s="34"/>
      <c r="R352" s="34"/>
      <c r="S352" s="57">
        <v>78</v>
      </c>
      <c r="T352" s="57"/>
      <c r="U352" s="34"/>
      <c r="V352" s="34"/>
      <c r="W352" s="60"/>
    </row>
    <row r="353" spans="2:23" ht="12.75">
      <c r="B353" s="81">
        <v>35</v>
      </c>
      <c r="C353" s="34" t="s">
        <v>43</v>
      </c>
      <c r="D353" s="34"/>
      <c r="E353" s="34"/>
      <c r="F353" s="34"/>
      <c r="G353" s="34"/>
      <c r="H353" s="34" t="s">
        <v>55</v>
      </c>
      <c r="I353" s="84">
        <f>SUM(D316:D360,I317:I318,I316:I352)</f>
        <v>0</v>
      </c>
      <c r="J353" s="34">
        <f>SUM(D316:D360,J316:J352)</f>
        <v>0</v>
      </c>
      <c r="K353" s="34">
        <f>SUM(E316:E360,K316:K352)</f>
        <v>0</v>
      </c>
      <c r="L353" s="60">
        <f>SUM(F316:F360,L316:L352)</f>
        <v>0</v>
      </c>
      <c r="M353" s="84"/>
      <c r="N353" s="56">
        <v>38</v>
      </c>
      <c r="O353" s="34"/>
      <c r="P353" s="34"/>
      <c r="Q353" s="34"/>
      <c r="R353" s="34"/>
      <c r="S353" s="57">
        <v>79</v>
      </c>
      <c r="T353" s="57"/>
      <c r="U353" s="34"/>
      <c r="V353" s="34"/>
      <c r="W353" s="60"/>
    </row>
    <row r="354" spans="2:23" ht="12.75">
      <c r="B354" s="81">
        <v>36</v>
      </c>
      <c r="C354" s="34" t="s">
        <v>90</v>
      </c>
      <c r="D354" s="34"/>
      <c r="E354" s="34"/>
      <c r="F354" s="34"/>
      <c r="G354" s="34"/>
      <c r="H354" s="34" t="s">
        <v>56</v>
      </c>
      <c r="I354" s="34">
        <v>33</v>
      </c>
      <c r="J354" s="34"/>
      <c r="K354" s="34"/>
      <c r="L354" s="60"/>
      <c r="M354" s="21"/>
      <c r="N354" s="56">
        <v>39</v>
      </c>
      <c r="O354" s="34"/>
      <c r="P354" s="34"/>
      <c r="Q354" s="34"/>
      <c r="R354" s="34"/>
      <c r="S354" s="57">
        <v>80</v>
      </c>
      <c r="T354" s="57"/>
      <c r="U354" s="34"/>
      <c r="V354" s="34"/>
      <c r="W354" s="60"/>
    </row>
    <row r="355" spans="2:23" ht="12.75">
      <c r="B355" s="81">
        <v>37</v>
      </c>
      <c r="C355" s="34" t="s">
        <v>44</v>
      </c>
      <c r="D355" s="34"/>
      <c r="E355" s="61"/>
      <c r="F355" s="34"/>
      <c r="G355" s="34"/>
      <c r="H355" s="34" t="s">
        <v>91</v>
      </c>
      <c r="I355" s="34">
        <f>SUM(I353:I354)</f>
        <v>33</v>
      </c>
      <c r="J355" s="34">
        <f>SUM(J353:J354)</f>
        <v>0</v>
      </c>
      <c r="K355" s="34">
        <f>SUM(K353:K354)</f>
        <v>0</v>
      </c>
      <c r="L355" s="60">
        <f>SUM(F316:F361,L316:L352)</f>
        <v>0</v>
      </c>
      <c r="M355" s="21"/>
      <c r="N355" s="56">
        <v>40</v>
      </c>
      <c r="O355" s="34"/>
      <c r="P355" s="34"/>
      <c r="Q355" s="34"/>
      <c r="R355" s="34"/>
      <c r="S355" s="57">
        <v>81</v>
      </c>
      <c r="T355" s="57"/>
      <c r="U355" s="34"/>
      <c r="V355" s="34"/>
      <c r="W355" s="60"/>
    </row>
    <row r="356" spans="2:23" ht="12.75">
      <c r="B356" s="81">
        <v>38</v>
      </c>
      <c r="C356" s="34" t="s">
        <v>45</v>
      </c>
      <c r="D356" s="34"/>
      <c r="E356" s="34"/>
      <c r="F356" s="34"/>
      <c r="G356" s="34"/>
      <c r="H356" s="34"/>
      <c r="I356" s="24"/>
      <c r="J356" s="24"/>
      <c r="K356" s="34"/>
      <c r="L356" s="60"/>
      <c r="M356" s="21"/>
      <c r="N356" s="56">
        <v>41</v>
      </c>
      <c r="O356" s="34"/>
      <c r="P356" s="34"/>
      <c r="Q356" s="34"/>
      <c r="R356" s="34"/>
      <c r="S356" s="57"/>
      <c r="T356" s="24"/>
      <c r="U356" s="34"/>
      <c r="V356" s="34"/>
      <c r="W356" s="60"/>
    </row>
    <row r="357" spans="2:23" ht="12.75">
      <c r="B357" s="81">
        <v>39</v>
      </c>
      <c r="C357" s="34"/>
      <c r="D357" s="34"/>
      <c r="E357" s="34"/>
      <c r="F357" s="34"/>
      <c r="G357" s="34"/>
      <c r="H357" s="34"/>
      <c r="I357" s="34"/>
      <c r="J357" s="34"/>
      <c r="K357" s="34"/>
      <c r="L357" s="25"/>
      <c r="M357" s="84"/>
      <c r="N357" s="65"/>
      <c r="O357" s="66"/>
      <c r="P357" s="66"/>
      <c r="Q357" s="66"/>
      <c r="R357" s="66"/>
      <c r="S357" s="66"/>
      <c r="T357" s="34" t="s">
        <v>6</v>
      </c>
      <c r="U357" s="34">
        <f>SUM(P316:P356,U315:U355)</f>
        <v>0</v>
      </c>
      <c r="V357" s="34">
        <f>SUM(Q316:Q356,V315:V355)</f>
        <v>0</v>
      </c>
      <c r="W357" s="60">
        <f>SUM(R316:R356,W315:W355)</f>
        <v>0</v>
      </c>
    </row>
    <row r="358" spans="2:23" ht="13.5" thickBot="1">
      <c r="B358" s="81"/>
      <c r="C358" s="32"/>
      <c r="D358" s="34"/>
      <c r="E358" s="34"/>
      <c r="F358" s="34"/>
      <c r="G358" s="34"/>
      <c r="H358" s="34"/>
      <c r="I358" s="34"/>
      <c r="J358" s="34"/>
      <c r="K358" s="34"/>
      <c r="L358" s="60"/>
      <c r="M358" s="21"/>
      <c r="N358" s="328" t="s">
        <v>94</v>
      </c>
      <c r="O358" s="329"/>
      <c r="P358" s="329"/>
      <c r="Q358" s="329"/>
      <c r="R358" s="329"/>
      <c r="S358" s="329"/>
      <c r="T358" s="329"/>
      <c r="U358" s="329"/>
      <c r="V358" s="329"/>
      <c r="W358" s="330"/>
    </row>
    <row r="359" spans="2:23" ht="12.75">
      <c r="B359" s="81">
        <v>40</v>
      </c>
      <c r="C359" s="34" t="s">
        <v>92</v>
      </c>
      <c r="D359" s="34"/>
      <c r="E359" s="34"/>
      <c r="F359" s="34"/>
      <c r="G359" s="34"/>
      <c r="H359" s="34"/>
      <c r="I359" s="34"/>
      <c r="J359" s="34"/>
      <c r="K359" s="34"/>
      <c r="L359" s="60"/>
      <c r="M359" s="84"/>
      <c r="N359" s="21"/>
      <c r="O359" s="21"/>
      <c r="P359" s="21"/>
      <c r="Q359" s="21"/>
      <c r="R359" s="21"/>
      <c r="S359" s="21"/>
      <c r="T359" s="21"/>
      <c r="U359" s="21"/>
      <c r="V359" s="21"/>
      <c r="W359" s="21"/>
    </row>
    <row r="360" spans="2:23" ht="12.75">
      <c r="B360" s="81">
        <v>41</v>
      </c>
      <c r="C360" s="34" t="s">
        <v>93</v>
      </c>
      <c r="D360" s="34"/>
      <c r="E360" s="34"/>
      <c r="F360" s="34"/>
      <c r="G360" s="34"/>
      <c r="H360" s="34"/>
      <c r="I360" s="34"/>
      <c r="J360" s="34"/>
      <c r="K360" s="34"/>
      <c r="L360" s="60"/>
      <c r="M360" s="84"/>
      <c r="N360" s="21"/>
      <c r="O360" s="21"/>
      <c r="P360" s="21"/>
      <c r="Q360" s="21"/>
      <c r="R360" s="21"/>
      <c r="S360" s="21"/>
      <c r="T360" s="21"/>
      <c r="U360" s="21"/>
      <c r="V360" s="21"/>
      <c r="W360" s="21"/>
    </row>
    <row r="361" spans="2:23" ht="12.75">
      <c r="B361" s="81"/>
      <c r="C361" s="24"/>
      <c r="D361" s="34"/>
      <c r="E361" s="34"/>
      <c r="F361" s="34"/>
      <c r="G361" s="34"/>
      <c r="H361" s="34"/>
      <c r="I361" s="34"/>
      <c r="J361" s="34"/>
      <c r="K361" s="34"/>
      <c r="L361" s="60"/>
      <c r="M361" s="84"/>
      <c r="N361" s="21"/>
      <c r="O361" s="21"/>
      <c r="P361" s="21"/>
      <c r="Q361" s="21"/>
      <c r="R361" s="21"/>
      <c r="S361" s="21"/>
      <c r="T361" s="21"/>
      <c r="U361" s="21"/>
      <c r="V361" s="21"/>
      <c r="W361" s="21"/>
    </row>
    <row r="362" spans="2:23" ht="13.5" thickBot="1">
      <c r="B362" s="328" t="s">
        <v>94</v>
      </c>
      <c r="C362" s="329"/>
      <c r="D362" s="329"/>
      <c r="E362" s="329"/>
      <c r="F362" s="329"/>
      <c r="G362" s="329"/>
      <c r="H362" s="329"/>
      <c r="I362" s="329"/>
      <c r="J362" s="329"/>
      <c r="K362" s="329"/>
      <c r="L362" s="330"/>
      <c r="M362" s="84"/>
      <c r="N362" s="21"/>
      <c r="O362" s="21"/>
      <c r="P362" s="21"/>
      <c r="Q362" s="21"/>
      <c r="R362" s="21"/>
      <c r="S362" s="21"/>
      <c r="T362" s="21"/>
      <c r="U362" s="21"/>
      <c r="V362" s="21"/>
      <c r="W362" s="21"/>
    </row>
    <row r="363" spans="2:23" ht="12.75"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</row>
    <row r="364" spans="2:23" ht="12.75"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</row>
    <row r="365" spans="2:23" ht="12.75"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</row>
    <row r="366" spans="2:23" ht="12.75"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</row>
    <row r="367" spans="2:23" ht="12.75"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</row>
    <row r="368" spans="2:23" ht="12.75"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</row>
    <row r="369" spans="2:23" ht="12.75"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</row>
    <row r="370" spans="2:23" ht="12.75"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</row>
    <row r="371" spans="2:23" ht="12.75"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</row>
  </sheetData>
  <sheetProtection/>
  <mergeCells count="24">
    <mergeCell ref="B314:L314"/>
    <mergeCell ref="N314:W314"/>
    <mergeCell ref="N358:W358"/>
    <mergeCell ref="B362:L362"/>
    <mergeCell ref="B300:L300"/>
    <mergeCell ref="N112:W112"/>
    <mergeCell ref="B252:L252"/>
    <mergeCell ref="N252:W252"/>
    <mergeCell ref="N296:W296"/>
    <mergeCell ref="B236:L236"/>
    <mergeCell ref="N188:W188"/>
    <mergeCell ref="N232:W232"/>
    <mergeCell ref="B118:L118"/>
    <mergeCell ref="N123:W123"/>
    <mergeCell ref="N166:W166"/>
    <mergeCell ref="B172:L172"/>
    <mergeCell ref="B188:L188"/>
    <mergeCell ref="B123:L123"/>
    <mergeCell ref="B4:L4"/>
    <mergeCell ref="N70:V70"/>
    <mergeCell ref="B70:L70"/>
    <mergeCell ref="B53:L53"/>
    <mergeCell ref="N4:W4"/>
    <mergeCell ref="N48:W48"/>
  </mergeCells>
  <printOptions horizontalCentered="1" verticalCentered="1"/>
  <pageMargins left="0.984251968503937" right="0.7874015748031497" top="0.984251968503937" bottom="0.5511811023622047" header="0.5118110236220472" footer="0.5118110236220472"/>
  <pageSetup fitToHeight="10" horizontalDpi="600" verticalDpi="600" orientation="portrait" paperSize="9" scale="90" r:id="rId1"/>
  <rowBreaks count="1" manualBreakCount="1">
    <brk id="11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241" bestFit="1" customWidth="1"/>
    <col min="2" max="2" width="8.8515625" style="241" bestFit="1" customWidth="1"/>
    <col min="3" max="3" width="8.421875" style="241" bestFit="1" customWidth="1"/>
    <col min="4" max="4" width="11.00390625" style="241" bestFit="1" customWidth="1"/>
    <col min="5" max="6" width="8.421875" style="241" bestFit="1" customWidth="1"/>
    <col min="7" max="7" width="11.00390625" style="241" bestFit="1" customWidth="1"/>
    <col min="8" max="8" width="8.57421875" style="241" bestFit="1" customWidth="1"/>
    <col min="9" max="9" width="8.421875" style="241" bestFit="1" customWidth="1"/>
    <col min="10" max="10" width="11.00390625" style="241" bestFit="1" customWidth="1"/>
    <col min="11" max="16384" width="9.140625" style="241" customWidth="1"/>
  </cols>
  <sheetData>
    <row r="5" spans="1:16" ht="12">
      <c r="A5" s="416" t="s">
        <v>262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</row>
    <row r="8" spans="11:16" ht="12">
      <c r="K8" s="415" t="s">
        <v>259</v>
      </c>
      <c r="L8" s="415"/>
      <c r="M8" s="415"/>
      <c r="N8" s="415"/>
      <c r="O8" s="415"/>
      <c r="P8" s="415"/>
    </row>
    <row r="9" spans="2:16" ht="12">
      <c r="B9" s="417">
        <v>2007</v>
      </c>
      <c r="C9" s="417"/>
      <c r="D9" s="417"/>
      <c r="E9" s="417">
        <v>2008</v>
      </c>
      <c r="F9" s="417"/>
      <c r="G9" s="417"/>
      <c r="H9" s="417">
        <v>2009</v>
      </c>
      <c r="I9" s="417"/>
      <c r="J9" s="418"/>
      <c r="K9" s="415" t="s">
        <v>257</v>
      </c>
      <c r="L9" s="415"/>
      <c r="M9" s="415" t="s">
        <v>258</v>
      </c>
      <c r="N9" s="415"/>
      <c r="O9" s="415" t="s">
        <v>6</v>
      </c>
      <c r="P9" s="415"/>
    </row>
    <row r="10" spans="2:16" ht="12">
      <c r="B10" s="242" t="s">
        <v>257</v>
      </c>
      <c r="C10" s="242" t="s">
        <v>258</v>
      </c>
      <c r="D10" s="242" t="s">
        <v>6</v>
      </c>
      <c r="E10" s="242" t="s">
        <v>257</v>
      </c>
      <c r="F10" s="242" t="s">
        <v>258</v>
      </c>
      <c r="G10" s="242" t="s">
        <v>6</v>
      </c>
      <c r="H10" s="242" t="s">
        <v>257</v>
      </c>
      <c r="I10" s="242" t="s">
        <v>258</v>
      </c>
      <c r="J10" s="243" t="s">
        <v>6</v>
      </c>
      <c r="K10" s="244" t="s">
        <v>260</v>
      </c>
      <c r="L10" s="245" t="s">
        <v>261</v>
      </c>
      <c r="M10" s="244" t="s">
        <v>260</v>
      </c>
      <c r="N10" s="245" t="s">
        <v>261</v>
      </c>
      <c r="O10" s="244" t="s">
        <v>260</v>
      </c>
      <c r="P10" s="245" t="s">
        <v>261</v>
      </c>
    </row>
    <row r="11" spans="1:16" ht="12">
      <c r="A11" s="246" t="s">
        <v>104</v>
      </c>
      <c r="B11" s="258">
        <v>11688</v>
      </c>
      <c r="C11" s="258">
        <f>D11-B11</f>
        <v>7787</v>
      </c>
      <c r="D11" s="258">
        <v>19475</v>
      </c>
      <c r="E11" s="258">
        <v>11639</v>
      </c>
      <c r="F11" s="258">
        <f>G11-E11</f>
        <v>11146</v>
      </c>
      <c r="G11" s="258">
        <v>22785</v>
      </c>
      <c r="H11" s="258">
        <v>13464</v>
      </c>
      <c r="I11" s="258">
        <f>J11-H11</f>
        <v>15993</v>
      </c>
      <c r="J11" s="259">
        <v>29457</v>
      </c>
      <c r="K11" s="260">
        <f>((E11/B11)-1)*100</f>
        <v>-0.4192334017796062</v>
      </c>
      <c r="L11" s="260">
        <f>((H11/E11)-1)*100</f>
        <v>15.680041240656406</v>
      </c>
      <c r="M11" s="260">
        <f>((F11/C11)-1)*100</f>
        <v>43.13599589058688</v>
      </c>
      <c r="N11" s="260">
        <f>((I11/F11)-1)*100</f>
        <v>43.486452539027454</v>
      </c>
      <c r="O11" s="260">
        <f>((G11/D11)-1)*100</f>
        <v>16.9961489088575</v>
      </c>
      <c r="P11" s="260">
        <f>((J11/G11)-1)*100</f>
        <v>29.282422646477958</v>
      </c>
    </row>
    <row r="12" spans="1:16" ht="12">
      <c r="A12" s="246" t="s">
        <v>105</v>
      </c>
      <c r="B12" s="258">
        <v>14579</v>
      </c>
      <c r="C12" s="258">
        <f aca="true" t="shared" si="0" ref="C12:C22">D12-B12</f>
        <v>10466</v>
      </c>
      <c r="D12" s="258">
        <v>25045</v>
      </c>
      <c r="E12" s="258">
        <v>16001</v>
      </c>
      <c r="F12" s="258">
        <f aca="true" t="shared" si="1" ref="F12:F22">G12-E12</f>
        <v>8045</v>
      </c>
      <c r="G12" s="258">
        <v>24046</v>
      </c>
      <c r="H12" s="258">
        <v>16401</v>
      </c>
      <c r="I12" s="258">
        <f aca="true" t="shared" si="2" ref="I12:I18">J12-H12</f>
        <v>13810</v>
      </c>
      <c r="J12" s="259">
        <v>30211</v>
      </c>
      <c r="K12" s="260">
        <f aca="true" t="shared" si="3" ref="K12:K23">((E12/B12)-1)*100</f>
        <v>9.753755401605058</v>
      </c>
      <c r="L12" s="260">
        <f aca="true" t="shared" si="4" ref="L12:L21">((H12/E12)-1)*100</f>
        <v>2.499843759765019</v>
      </c>
      <c r="M12" s="260">
        <f aca="true" t="shared" si="5" ref="M12:M23">((F12/C12)-1)*100</f>
        <v>-23.132046627173708</v>
      </c>
      <c r="N12" s="260">
        <f aca="true" t="shared" si="6" ref="N12:N21">((I12/F12)-1)*100</f>
        <v>71.6594157862026</v>
      </c>
      <c r="O12" s="260">
        <f aca="true" t="shared" si="7" ref="O12:O23">((G12/D12)-1)*100</f>
        <v>-3.9888201237772036</v>
      </c>
      <c r="P12" s="260">
        <f aca="true" t="shared" si="8" ref="P12:P21">((J12/G12)-1)*100</f>
        <v>25.638359810363465</v>
      </c>
    </row>
    <row r="13" spans="1:16" ht="12">
      <c r="A13" s="246" t="s">
        <v>106</v>
      </c>
      <c r="B13" s="258">
        <v>19676</v>
      </c>
      <c r="C13" s="258">
        <f t="shared" si="0"/>
        <v>21214</v>
      </c>
      <c r="D13" s="258">
        <v>40890</v>
      </c>
      <c r="E13" s="258">
        <v>26835</v>
      </c>
      <c r="F13" s="258">
        <f t="shared" si="1"/>
        <v>15676</v>
      </c>
      <c r="G13" s="258">
        <v>42511</v>
      </c>
      <c r="H13" s="258">
        <v>21834</v>
      </c>
      <c r="I13" s="258">
        <f t="shared" si="2"/>
        <v>11358</v>
      </c>
      <c r="J13" s="259">
        <v>33192</v>
      </c>
      <c r="K13" s="260">
        <f t="shared" si="3"/>
        <v>36.384427729213265</v>
      </c>
      <c r="L13" s="260">
        <f t="shared" si="4"/>
        <v>-18.636109558412517</v>
      </c>
      <c r="M13" s="260">
        <f t="shared" si="5"/>
        <v>-26.105402092957487</v>
      </c>
      <c r="N13" s="260">
        <f t="shared" si="6"/>
        <v>-27.545292166368974</v>
      </c>
      <c r="O13" s="260">
        <f t="shared" si="7"/>
        <v>3.9642944485204223</v>
      </c>
      <c r="P13" s="260">
        <f t="shared" si="8"/>
        <v>-21.92138505328033</v>
      </c>
    </row>
    <row r="14" spans="1:16" ht="12">
      <c r="A14" s="246" t="s">
        <v>107</v>
      </c>
      <c r="B14" s="258">
        <v>38136</v>
      </c>
      <c r="C14" s="258">
        <f t="shared" si="0"/>
        <v>13128</v>
      </c>
      <c r="D14" s="258">
        <v>51264</v>
      </c>
      <c r="E14" s="258">
        <v>39381</v>
      </c>
      <c r="F14" s="258">
        <f t="shared" si="1"/>
        <v>24351</v>
      </c>
      <c r="G14" s="258">
        <v>63732</v>
      </c>
      <c r="H14" s="258">
        <v>47976</v>
      </c>
      <c r="I14" s="258">
        <f t="shared" si="2"/>
        <v>29674</v>
      </c>
      <c r="J14" s="259">
        <v>77650</v>
      </c>
      <c r="K14" s="260">
        <f t="shared" si="3"/>
        <v>3.2646318439270017</v>
      </c>
      <c r="L14" s="260">
        <f t="shared" si="4"/>
        <v>21.82524567684925</v>
      </c>
      <c r="M14" s="260">
        <f t="shared" si="5"/>
        <v>85.48903107861061</v>
      </c>
      <c r="N14" s="260">
        <f t="shared" si="6"/>
        <v>21.859471890271443</v>
      </c>
      <c r="O14" s="260">
        <f t="shared" si="7"/>
        <v>24.321161048689135</v>
      </c>
      <c r="P14" s="260">
        <f t="shared" si="8"/>
        <v>21.83832297746815</v>
      </c>
    </row>
    <row r="15" spans="1:16" ht="12">
      <c r="A15" s="246" t="s">
        <v>108</v>
      </c>
      <c r="B15" s="258">
        <v>63463</v>
      </c>
      <c r="C15" s="258">
        <f t="shared" si="0"/>
        <v>22880</v>
      </c>
      <c r="D15" s="258">
        <v>86343</v>
      </c>
      <c r="E15" s="258">
        <v>76453</v>
      </c>
      <c r="F15" s="258">
        <f t="shared" si="1"/>
        <v>42589</v>
      </c>
      <c r="G15" s="258">
        <v>119042</v>
      </c>
      <c r="H15" s="258">
        <v>74463</v>
      </c>
      <c r="I15" s="258">
        <f t="shared" si="2"/>
        <v>35841</v>
      </c>
      <c r="J15" s="259">
        <v>110304</v>
      </c>
      <c r="K15" s="260">
        <f t="shared" si="3"/>
        <v>20.468619510580965</v>
      </c>
      <c r="L15" s="260">
        <f t="shared" si="4"/>
        <v>-2.6029063607706737</v>
      </c>
      <c r="M15" s="260">
        <f t="shared" si="5"/>
        <v>86.14073426573428</v>
      </c>
      <c r="N15" s="260">
        <f t="shared" si="6"/>
        <v>-15.844466881119533</v>
      </c>
      <c r="O15" s="260">
        <f t="shared" si="7"/>
        <v>37.87104918754272</v>
      </c>
      <c r="P15" s="260">
        <f t="shared" si="8"/>
        <v>-7.340266460576938</v>
      </c>
    </row>
    <row r="16" spans="1:16" ht="12">
      <c r="A16" s="246" t="s">
        <v>109</v>
      </c>
      <c r="B16" s="258">
        <v>84966</v>
      </c>
      <c r="C16" s="258">
        <f t="shared" si="0"/>
        <v>50788</v>
      </c>
      <c r="D16" s="258">
        <v>135754</v>
      </c>
      <c r="E16" s="258">
        <v>100337</v>
      </c>
      <c r="F16" s="258">
        <f t="shared" si="1"/>
        <v>40654</v>
      </c>
      <c r="G16" s="258">
        <v>140991</v>
      </c>
      <c r="H16" s="258">
        <v>91617</v>
      </c>
      <c r="I16" s="258">
        <f t="shared" si="2"/>
        <v>45258</v>
      </c>
      <c r="J16" s="259">
        <v>136875</v>
      </c>
      <c r="K16" s="260">
        <f t="shared" si="3"/>
        <v>18.090765718051927</v>
      </c>
      <c r="L16" s="260">
        <f t="shared" si="4"/>
        <v>-8.690712299550519</v>
      </c>
      <c r="M16" s="260">
        <f t="shared" si="5"/>
        <v>-19.953532330471766</v>
      </c>
      <c r="N16" s="260">
        <f t="shared" si="6"/>
        <v>11.324838884242627</v>
      </c>
      <c r="O16" s="260">
        <f t="shared" si="7"/>
        <v>3.857713216553482</v>
      </c>
      <c r="P16" s="260">
        <f t="shared" si="8"/>
        <v>-2.919335276719792</v>
      </c>
    </row>
    <row r="17" spans="1:16" ht="12">
      <c r="A17" s="246" t="s">
        <v>110</v>
      </c>
      <c r="B17" s="258">
        <v>123205</v>
      </c>
      <c r="C17" s="258">
        <f t="shared" si="0"/>
        <v>51318</v>
      </c>
      <c r="D17" s="258">
        <v>174523</v>
      </c>
      <c r="E17" s="258">
        <v>134786</v>
      </c>
      <c r="F17" s="258">
        <f t="shared" si="1"/>
        <v>47599</v>
      </c>
      <c r="G17" s="258">
        <v>182385</v>
      </c>
      <c r="H17" s="258">
        <v>129009</v>
      </c>
      <c r="I17" s="258">
        <f t="shared" si="2"/>
        <v>47522</v>
      </c>
      <c r="J17" s="259">
        <v>176531</v>
      </c>
      <c r="K17" s="260">
        <f t="shared" si="3"/>
        <v>9.3997808530498</v>
      </c>
      <c r="L17" s="260">
        <f t="shared" si="4"/>
        <v>-4.2860534476874435</v>
      </c>
      <c r="M17" s="260">
        <f t="shared" si="5"/>
        <v>-7.246969874118248</v>
      </c>
      <c r="N17" s="260">
        <f t="shared" si="6"/>
        <v>-0.1617681043719399</v>
      </c>
      <c r="O17" s="260">
        <f t="shared" si="7"/>
        <v>4.504850363562385</v>
      </c>
      <c r="P17" s="260">
        <f t="shared" si="8"/>
        <v>-3.2096937796419645</v>
      </c>
    </row>
    <row r="18" spans="1:16" ht="12">
      <c r="A18" s="246" t="s">
        <v>111</v>
      </c>
      <c r="B18" s="258">
        <v>109010</v>
      </c>
      <c r="C18" s="258">
        <f t="shared" si="0"/>
        <v>58997</v>
      </c>
      <c r="D18" s="258">
        <v>168007</v>
      </c>
      <c r="E18" s="258">
        <v>119217</v>
      </c>
      <c r="F18" s="258">
        <f t="shared" si="1"/>
        <v>47635</v>
      </c>
      <c r="G18" s="258">
        <v>166852</v>
      </c>
      <c r="H18" s="258">
        <v>105494</v>
      </c>
      <c r="I18" s="258">
        <f t="shared" si="2"/>
        <v>47731</v>
      </c>
      <c r="J18" s="259">
        <v>153225</v>
      </c>
      <c r="K18" s="260">
        <f t="shared" si="3"/>
        <v>9.36336115952665</v>
      </c>
      <c r="L18" s="260">
        <f t="shared" si="4"/>
        <v>-11.510942231393173</v>
      </c>
      <c r="M18" s="260">
        <f t="shared" si="5"/>
        <v>-19.25860636981541</v>
      </c>
      <c r="N18" s="260">
        <f t="shared" si="6"/>
        <v>0.2015324866169843</v>
      </c>
      <c r="O18" s="260">
        <f t="shared" si="7"/>
        <v>-0.6874713553601919</v>
      </c>
      <c r="P18" s="260">
        <f t="shared" si="8"/>
        <v>-8.16711816460096</v>
      </c>
    </row>
    <row r="19" spans="1:16" ht="12">
      <c r="A19" s="246" t="s">
        <v>112</v>
      </c>
      <c r="B19" s="258">
        <v>81618</v>
      </c>
      <c r="C19" s="258">
        <f t="shared" si="0"/>
        <v>45949</v>
      </c>
      <c r="D19" s="258">
        <v>127567</v>
      </c>
      <c r="E19" s="258">
        <v>85156</v>
      </c>
      <c r="F19" s="258">
        <f t="shared" si="1"/>
        <v>46399</v>
      </c>
      <c r="G19" s="258">
        <v>131555</v>
      </c>
      <c r="H19" s="258">
        <v>85984</v>
      </c>
      <c r="I19" s="258">
        <v>48530</v>
      </c>
      <c r="J19" s="259">
        <f>SUM(H19:I19)</f>
        <v>134514</v>
      </c>
      <c r="K19" s="260">
        <f t="shared" si="3"/>
        <v>4.33482810164425</v>
      </c>
      <c r="L19" s="260">
        <f t="shared" si="4"/>
        <v>0.9723331297853299</v>
      </c>
      <c r="M19" s="260">
        <f t="shared" si="5"/>
        <v>0.9793466669568485</v>
      </c>
      <c r="N19" s="260">
        <f t="shared" si="6"/>
        <v>4.592771395935258</v>
      </c>
      <c r="O19" s="260">
        <f t="shared" si="7"/>
        <v>3.1262003496201896</v>
      </c>
      <c r="P19" s="260">
        <f t="shared" si="8"/>
        <v>2.2492493633841315</v>
      </c>
    </row>
    <row r="20" spans="1:16" ht="12">
      <c r="A20" s="246" t="s">
        <v>113</v>
      </c>
      <c r="B20" s="258">
        <v>49533</v>
      </c>
      <c r="C20" s="258">
        <f t="shared" si="0"/>
        <v>46373</v>
      </c>
      <c r="D20" s="258">
        <v>95906</v>
      </c>
      <c r="E20" s="258">
        <v>52310</v>
      </c>
      <c r="F20" s="258">
        <f t="shared" si="1"/>
        <v>56020</v>
      </c>
      <c r="G20" s="258">
        <v>108330</v>
      </c>
      <c r="H20" s="258">
        <v>59434</v>
      </c>
      <c r="I20" s="258">
        <v>40330</v>
      </c>
      <c r="J20" s="259">
        <v>99764</v>
      </c>
      <c r="K20" s="260">
        <f t="shared" si="3"/>
        <v>5.606363434478023</v>
      </c>
      <c r="L20" s="260">
        <f t="shared" si="4"/>
        <v>13.618810934811698</v>
      </c>
      <c r="M20" s="260">
        <f t="shared" si="5"/>
        <v>20.803053500959614</v>
      </c>
      <c r="N20" s="260">
        <f t="shared" si="6"/>
        <v>-28.007854337736525</v>
      </c>
      <c r="O20" s="260">
        <f t="shared" si="7"/>
        <v>12.954351135486842</v>
      </c>
      <c r="P20" s="260">
        <f t="shared" si="8"/>
        <v>-7.907320225237702</v>
      </c>
    </row>
    <row r="21" spans="1:16" ht="12">
      <c r="A21" s="246" t="s">
        <v>114</v>
      </c>
      <c r="B21" s="258">
        <v>13813</v>
      </c>
      <c r="C21" s="258">
        <f t="shared" si="0"/>
        <v>11809</v>
      </c>
      <c r="D21" s="258">
        <v>25622</v>
      </c>
      <c r="E21" s="258">
        <v>15444</v>
      </c>
      <c r="F21" s="258">
        <f t="shared" si="1"/>
        <v>27340</v>
      </c>
      <c r="G21" s="258">
        <v>42784</v>
      </c>
      <c r="H21" s="258">
        <f>'Giriş İstatistikleri'!E52</f>
        <v>20658</v>
      </c>
      <c r="I21" s="258">
        <f>J21-H21</f>
        <v>21559</v>
      </c>
      <c r="J21" s="259">
        <f>'Giriş İstatistikleri'!W52</f>
        <v>42217</v>
      </c>
      <c r="K21" s="260">
        <f t="shared" si="3"/>
        <v>11.807717367697101</v>
      </c>
      <c r="L21" s="260">
        <f t="shared" si="4"/>
        <v>33.760683760683754</v>
      </c>
      <c r="M21" s="260">
        <f t="shared" si="5"/>
        <v>131.51833347446865</v>
      </c>
      <c r="N21" s="260">
        <f t="shared" si="6"/>
        <v>-21.144842721287493</v>
      </c>
      <c r="O21" s="260">
        <f t="shared" si="7"/>
        <v>66.98150027320271</v>
      </c>
      <c r="P21" s="260">
        <f t="shared" si="8"/>
        <v>-1.325261780104714</v>
      </c>
    </row>
    <row r="22" spans="1:16" ht="12">
      <c r="A22" s="242" t="s">
        <v>115</v>
      </c>
      <c r="B22" s="258">
        <v>18881</v>
      </c>
      <c r="C22" s="258">
        <f t="shared" si="0"/>
        <v>1495</v>
      </c>
      <c r="D22" s="258">
        <v>20376</v>
      </c>
      <c r="E22" s="258">
        <v>19874</v>
      </c>
      <c r="F22" s="258">
        <f t="shared" si="1"/>
        <v>9201</v>
      </c>
      <c r="G22" s="258">
        <v>29075</v>
      </c>
      <c r="H22" s="258"/>
      <c r="I22" s="258"/>
      <c r="J22" s="259"/>
      <c r="K22" s="260">
        <f t="shared" si="3"/>
        <v>5.2592553360521155</v>
      </c>
      <c r="L22" s="260"/>
      <c r="M22" s="260">
        <f t="shared" si="5"/>
        <v>515.4515050167224</v>
      </c>
      <c r="N22" s="260"/>
      <c r="O22" s="260">
        <f t="shared" si="7"/>
        <v>42.692383195916776</v>
      </c>
      <c r="P22" s="260"/>
    </row>
    <row r="23" spans="1:16" ht="24" customHeight="1">
      <c r="A23" s="247" t="s">
        <v>6</v>
      </c>
      <c r="B23" s="238">
        <f>SUM(B11:B22)</f>
        <v>628568</v>
      </c>
      <c r="C23" s="238">
        <f>SUM(C11:C22)</f>
        <v>342204</v>
      </c>
      <c r="D23" s="238">
        <v>970772</v>
      </c>
      <c r="E23" s="238">
        <f>SUM(E11:E22)</f>
        <v>697433</v>
      </c>
      <c r="F23" s="238">
        <f>SUM(F11:F22)</f>
        <v>376655</v>
      </c>
      <c r="G23" s="238">
        <v>1074088</v>
      </c>
      <c r="H23" s="238"/>
      <c r="I23" s="238"/>
      <c r="J23" s="239"/>
      <c r="K23" s="240">
        <f t="shared" si="3"/>
        <v>10.955855213755704</v>
      </c>
      <c r="L23" s="240"/>
      <c r="M23" s="240">
        <f t="shared" si="5"/>
        <v>10.067386705006376</v>
      </c>
      <c r="N23" s="240"/>
      <c r="O23" s="240">
        <f t="shared" si="7"/>
        <v>10.642663776870375</v>
      </c>
      <c r="P23" s="240"/>
    </row>
    <row r="24" spans="1:16" ht="24">
      <c r="A24" s="248" t="s">
        <v>306</v>
      </c>
      <c r="B24" s="239">
        <f>SUM(B11:B21)</f>
        <v>609687</v>
      </c>
      <c r="C24" s="239">
        <f aca="true" t="shared" si="9" ref="C24:J24">SUM(C11:C21)</f>
        <v>340709</v>
      </c>
      <c r="D24" s="239">
        <f t="shared" si="9"/>
        <v>950396</v>
      </c>
      <c r="E24" s="239">
        <f t="shared" si="9"/>
        <v>677559</v>
      </c>
      <c r="F24" s="239">
        <f t="shared" si="9"/>
        <v>367454</v>
      </c>
      <c r="G24" s="239">
        <f t="shared" si="9"/>
        <v>1045013</v>
      </c>
      <c r="H24" s="239">
        <f t="shared" si="9"/>
        <v>666334</v>
      </c>
      <c r="I24" s="239">
        <f t="shared" si="9"/>
        <v>357606</v>
      </c>
      <c r="J24" s="239">
        <f t="shared" si="9"/>
        <v>1023940</v>
      </c>
      <c r="K24" s="240">
        <f>((E24/B24)-1)*100</f>
        <v>11.132269508780745</v>
      </c>
      <c r="L24" s="240">
        <f>((H24/E24)-1)*100</f>
        <v>-1.6566822963018701</v>
      </c>
      <c r="M24" s="240">
        <f>((F24/C24)-1)*100</f>
        <v>7.849807313572588</v>
      </c>
      <c r="N24" s="240">
        <f>((I24/F24)-1)*100</f>
        <v>-2.6800633548689112</v>
      </c>
      <c r="O24" s="240">
        <f>((G24/D24)-1)*100</f>
        <v>9.955534324639403</v>
      </c>
      <c r="P24" s="240">
        <f>((J24/G24)-1)*100</f>
        <v>-2.016529937905076</v>
      </c>
    </row>
  </sheetData>
  <sheetProtection/>
  <mergeCells count="8">
    <mergeCell ref="O9:P9"/>
    <mergeCell ref="K8:P8"/>
    <mergeCell ref="A5:P5"/>
    <mergeCell ref="B9:D9"/>
    <mergeCell ref="E9:G9"/>
    <mergeCell ref="H9:J9"/>
    <mergeCell ref="K9:L9"/>
    <mergeCell ref="M9:N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zoomScale="75" zoomScaleNormal="75" zoomScalePageLayoutView="0" workbookViewId="0" topLeftCell="A1">
      <selection activeCell="C6" sqref="C6:D7"/>
    </sheetView>
  </sheetViews>
  <sheetFormatPr defaultColWidth="9.140625" defaultRowHeight="12.75"/>
  <cols>
    <col min="1" max="1" width="4.421875" style="10" customWidth="1"/>
    <col min="2" max="2" width="5.140625" style="10" customWidth="1"/>
    <col min="3" max="3" width="16.00390625" style="10" customWidth="1"/>
    <col min="4" max="4" width="8.140625" style="10" customWidth="1"/>
    <col min="5" max="5" width="8.7109375" style="10" customWidth="1"/>
    <col min="6" max="6" width="8.140625" style="10" customWidth="1"/>
    <col min="7" max="7" width="9.00390625" style="10" customWidth="1"/>
    <col min="8" max="8" width="7.7109375" style="10" customWidth="1"/>
    <col min="9" max="9" width="7.28125" style="10" customWidth="1"/>
    <col min="10" max="10" width="8.00390625" style="10" customWidth="1"/>
    <col min="11" max="12" width="7.28125" style="10" customWidth="1"/>
    <col min="13" max="13" width="7.8515625" style="10" customWidth="1"/>
    <col min="14" max="14" width="7.28125" style="10" customWidth="1"/>
    <col min="15" max="15" width="7.57421875" style="10" customWidth="1"/>
    <col min="16" max="16" width="8.140625" style="10" customWidth="1"/>
    <col min="17" max="17" width="7.28125" style="10" customWidth="1"/>
    <col min="18" max="18" width="7.57421875" style="10" customWidth="1"/>
    <col min="19" max="19" width="10.140625" style="10" customWidth="1"/>
    <col min="20" max="20" width="7.8515625" style="10" customWidth="1"/>
    <col min="21" max="21" width="7.00390625" style="10" customWidth="1"/>
    <col min="22" max="22" width="9.8515625" style="10" customWidth="1"/>
    <col min="23" max="23" width="10.421875" style="10" customWidth="1"/>
    <col min="24" max="16384" width="9.140625" style="10" customWidth="1"/>
  </cols>
  <sheetData>
    <row r="1" spans="1:24" ht="15">
      <c r="A1" s="11"/>
      <c r="B1" s="11"/>
      <c r="C1" s="20"/>
      <c r="D1" s="20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1"/>
    </row>
    <row r="2" ht="24" customHeight="1">
      <c r="F2" s="14"/>
    </row>
    <row r="3" ht="24" customHeight="1" thickBot="1"/>
    <row r="4" spans="1:24" s="11" customFormat="1" ht="24" customHeight="1">
      <c r="A4" s="10"/>
      <c r="B4" s="10"/>
      <c r="C4" s="348" t="s">
        <v>298</v>
      </c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5"/>
      <c r="X4" s="10"/>
    </row>
    <row r="5" spans="1:24" s="11" customFormat="1" ht="24" customHeight="1" thickBot="1">
      <c r="A5" s="10"/>
      <c r="B5" s="10"/>
      <c r="C5" s="316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9"/>
      <c r="X5" s="10"/>
    </row>
    <row r="6" spans="1:24" s="11" customFormat="1" ht="24" customHeight="1" thickBot="1">
      <c r="A6" s="10"/>
      <c r="B6" s="10"/>
      <c r="C6" s="357" t="s">
        <v>0</v>
      </c>
      <c r="D6" s="358"/>
      <c r="E6" s="312" t="s">
        <v>1</v>
      </c>
      <c r="F6" s="349"/>
      <c r="G6" s="350"/>
      <c r="H6" s="345" t="s">
        <v>2</v>
      </c>
      <c r="I6" s="346"/>
      <c r="J6" s="347"/>
      <c r="K6" s="345" t="s">
        <v>137</v>
      </c>
      <c r="L6" s="346"/>
      <c r="M6" s="347"/>
      <c r="N6" s="312" t="s">
        <v>3</v>
      </c>
      <c r="O6" s="349"/>
      <c r="P6" s="350"/>
      <c r="Q6" s="351" t="s">
        <v>4</v>
      </c>
      <c r="R6" s="352"/>
      <c r="S6" s="353"/>
      <c r="T6" s="312" t="s">
        <v>5</v>
      </c>
      <c r="U6" s="349"/>
      <c r="V6" s="350"/>
      <c r="W6" s="310" t="s">
        <v>6</v>
      </c>
      <c r="X6" s="10"/>
    </row>
    <row r="7" spans="1:26" s="11" customFormat="1" ht="24" customHeight="1" thickBot="1">
      <c r="A7" s="10"/>
      <c r="B7" s="10"/>
      <c r="C7" s="359"/>
      <c r="D7" s="360"/>
      <c r="E7" s="351" t="s">
        <v>7</v>
      </c>
      <c r="F7" s="352"/>
      <c r="G7" s="353"/>
      <c r="H7" s="345" t="s">
        <v>8</v>
      </c>
      <c r="I7" s="346"/>
      <c r="J7" s="346"/>
      <c r="K7" s="345" t="s">
        <v>8</v>
      </c>
      <c r="L7" s="346"/>
      <c r="M7" s="346"/>
      <c r="N7" s="351" t="s">
        <v>8</v>
      </c>
      <c r="O7" s="352"/>
      <c r="P7" s="354"/>
      <c r="Q7" s="351" t="s">
        <v>8</v>
      </c>
      <c r="R7" s="352"/>
      <c r="S7" s="354"/>
      <c r="T7" s="351" t="s">
        <v>8</v>
      </c>
      <c r="U7" s="352"/>
      <c r="V7" s="353"/>
      <c r="W7" s="311"/>
      <c r="X7" s="10"/>
      <c r="Y7" s="10"/>
      <c r="Z7" s="10"/>
    </row>
    <row r="8" spans="1:26" s="11" customFormat="1" ht="24" customHeight="1" thickBot="1">
      <c r="A8" s="10"/>
      <c r="B8" s="10"/>
      <c r="C8" s="351" t="s">
        <v>9</v>
      </c>
      <c r="D8" s="354"/>
      <c r="E8" s="103" t="s">
        <v>10</v>
      </c>
      <c r="F8" s="104" t="s">
        <v>11</v>
      </c>
      <c r="G8" s="105" t="s">
        <v>12</v>
      </c>
      <c r="H8" s="103" t="s">
        <v>10</v>
      </c>
      <c r="I8" s="104" t="s">
        <v>11</v>
      </c>
      <c r="J8" s="105" t="s">
        <v>12</v>
      </c>
      <c r="K8" s="103" t="s">
        <v>10</v>
      </c>
      <c r="L8" s="104" t="s">
        <v>11</v>
      </c>
      <c r="M8" s="105" t="s">
        <v>12</v>
      </c>
      <c r="N8" s="103" t="s">
        <v>10</v>
      </c>
      <c r="O8" s="104" t="s">
        <v>11</v>
      </c>
      <c r="P8" s="105" t="s">
        <v>13</v>
      </c>
      <c r="Q8" s="103" t="s">
        <v>10</v>
      </c>
      <c r="R8" s="104" t="s">
        <v>11</v>
      </c>
      <c r="S8" s="105" t="s">
        <v>12</v>
      </c>
      <c r="T8" s="103" t="s">
        <v>10</v>
      </c>
      <c r="U8" s="104" t="s">
        <v>11</v>
      </c>
      <c r="V8" s="105" t="s">
        <v>12</v>
      </c>
      <c r="W8" s="106" t="s">
        <v>10</v>
      </c>
      <c r="X8" s="10"/>
      <c r="Y8" s="10"/>
      <c r="Z8" s="10"/>
    </row>
    <row r="9" spans="1:26" s="11" customFormat="1" ht="24" customHeight="1">
      <c r="A9" s="10"/>
      <c r="B9" s="10"/>
      <c r="C9" s="355" t="s">
        <v>14</v>
      </c>
      <c r="D9" s="356"/>
      <c r="E9" s="107">
        <f>Kapılar!D6</f>
        <v>11195</v>
      </c>
      <c r="F9" s="108">
        <f>Kapılar!E6</f>
        <v>14088</v>
      </c>
      <c r="G9" s="109">
        <f>Kapılar!F6</f>
        <v>0</v>
      </c>
      <c r="H9" s="110">
        <f>Kapılar!D72</f>
        <v>0</v>
      </c>
      <c r="I9" s="109">
        <f>Kapılar!E72</f>
        <v>2</v>
      </c>
      <c r="J9" s="110">
        <f>Kapılar!F72</f>
        <v>3263</v>
      </c>
      <c r="K9" s="111">
        <f>Kapılar!D254</f>
        <v>0</v>
      </c>
      <c r="L9" s="109">
        <f>Kapılar!E254</f>
        <v>0</v>
      </c>
      <c r="M9" s="111">
        <f>Kapılar!F254</f>
        <v>0</v>
      </c>
      <c r="N9" s="109">
        <f>Kapılar!D125</f>
        <v>75</v>
      </c>
      <c r="O9" s="112">
        <f>Kapılar!E125</f>
        <v>71</v>
      </c>
      <c r="P9" s="113">
        <f>Kapılar!F125</f>
        <v>0</v>
      </c>
      <c r="Q9" s="113">
        <f>Kapılar!D190</f>
        <v>0</v>
      </c>
      <c r="R9" s="113">
        <f>Kapılar!E190</f>
        <v>0</v>
      </c>
      <c r="S9" s="113">
        <f>Kapılar!F190</f>
        <v>0</v>
      </c>
      <c r="T9" s="113">
        <f>Kapılar!D316</f>
        <v>0</v>
      </c>
      <c r="U9" s="111">
        <f>Kapılar!E316</f>
        <v>0</v>
      </c>
      <c r="V9" s="109">
        <f>Kapılar!F316</f>
        <v>0</v>
      </c>
      <c r="W9" s="108">
        <f>SUM(E9+G9+H9+J9+K9+M9+N9+P9+Q9+S9+T9+V9)</f>
        <v>14533</v>
      </c>
      <c r="X9" s="10"/>
      <c r="Y9" s="10"/>
      <c r="Z9" s="10"/>
    </row>
    <row r="10" spans="1:26" s="11" customFormat="1" ht="24" customHeight="1">
      <c r="A10" s="10"/>
      <c r="B10" s="10"/>
      <c r="C10" s="343" t="s">
        <v>15</v>
      </c>
      <c r="D10" s="344"/>
      <c r="E10" s="115">
        <f>Kapılar!D7</f>
        <v>521</v>
      </c>
      <c r="F10" s="116">
        <f>Kapılar!E7</f>
        <v>498</v>
      </c>
      <c r="G10" s="116">
        <f>Kapılar!F7</f>
        <v>0</v>
      </c>
      <c r="H10" s="117">
        <f>Kapılar!D73</f>
        <v>0</v>
      </c>
      <c r="I10" s="116">
        <f>Kapılar!E73</f>
        <v>0</v>
      </c>
      <c r="J10" s="117">
        <f>Kapılar!F73</f>
        <v>240</v>
      </c>
      <c r="K10" s="115">
        <f>Kapılar!D255</f>
        <v>0</v>
      </c>
      <c r="L10" s="116">
        <f>Kapılar!E255</f>
        <v>0</v>
      </c>
      <c r="M10" s="115">
        <f>Kapılar!F255</f>
        <v>0</v>
      </c>
      <c r="N10" s="116">
        <f>Kapılar!D126</f>
        <v>2</v>
      </c>
      <c r="O10" s="118">
        <f>Kapılar!E126</f>
        <v>0</v>
      </c>
      <c r="P10" s="119">
        <f>Kapılar!F126</f>
        <v>0</v>
      </c>
      <c r="Q10" s="119">
        <f>Kapılar!D191</f>
        <v>0</v>
      </c>
      <c r="R10" s="119">
        <f>Kapılar!E191</f>
        <v>0</v>
      </c>
      <c r="S10" s="119">
        <f>Kapılar!F191</f>
        <v>0</v>
      </c>
      <c r="T10" s="119">
        <f>Kapılar!D317</f>
        <v>0</v>
      </c>
      <c r="U10" s="115">
        <f>Kapılar!E317</f>
        <v>0</v>
      </c>
      <c r="V10" s="116">
        <f>Kapılar!F317</f>
        <v>0</v>
      </c>
      <c r="W10" s="120">
        <f aca="true" t="shared" si="0" ref="W10:W50">SUM(E10+G10+H10+J10+K10+M10+N10+P10+Q10+S10+T10+V10)</f>
        <v>763</v>
      </c>
      <c r="X10" s="10"/>
      <c r="Y10" s="10"/>
      <c r="Z10" s="10"/>
    </row>
    <row r="11" spans="1:26" s="11" customFormat="1" ht="24" customHeight="1">
      <c r="A11" s="10"/>
      <c r="B11" s="10"/>
      <c r="C11" s="343" t="s">
        <v>16</v>
      </c>
      <c r="D11" s="344"/>
      <c r="E11" s="115">
        <f>Kapılar!D8</f>
        <v>386</v>
      </c>
      <c r="F11" s="116">
        <f>Kapılar!E8</f>
        <v>604</v>
      </c>
      <c r="G11" s="116">
        <f>Kapılar!F8</f>
        <v>0</v>
      </c>
      <c r="H11" s="117">
        <f>Kapılar!D74</f>
        <v>0</v>
      </c>
      <c r="I11" s="116">
        <f>Kapılar!E74</f>
        <v>0</v>
      </c>
      <c r="J11" s="117">
        <f>Kapılar!F74</f>
        <v>249</v>
      </c>
      <c r="K11" s="115">
        <f>Kapılar!D256</f>
        <v>0</v>
      </c>
      <c r="L11" s="116">
        <f>Kapılar!E256</f>
        <v>0</v>
      </c>
      <c r="M11" s="115">
        <f>Kapılar!F256</f>
        <v>0</v>
      </c>
      <c r="N11" s="116">
        <f>Kapılar!D127</f>
        <v>2</v>
      </c>
      <c r="O11" s="118">
        <f>Kapılar!E127</f>
        <v>3</v>
      </c>
      <c r="P11" s="119">
        <f>Kapılar!F127</f>
        <v>0</v>
      </c>
      <c r="Q11" s="119">
        <f>Kapılar!D192</f>
        <v>0</v>
      </c>
      <c r="R11" s="119">
        <f>Kapılar!E192</f>
        <v>0</v>
      </c>
      <c r="S11" s="119">
        <f>Kapılar!F192</f>
        <v>2</v>
      </c>
      <c r="T11" s="119">
        <f>Kapılar!D318</f>
        <v>0</v>
      </c>
      <c r="U11" s="115">
        <f>Kapılar!E318</f>
        <v>0</v>
      </c>
      <c r="V11" s="116">
        <f>Kapılar!F318</f>
        <v>0</v>
      </c>
      <c r="W11" s="120">
        <f t="shared" si="0"/>
        <v>639</v>
      </c>
      <c r="X11" s="10"/>
      <c r="Y11" s="10"/>
      <c r="Z11" s="10"/>
    </row>
    <row r="12" spans="1:26" s="11" customFormat="1" ht="24" customHeight="1">
      <c r="A12" s="10"/>
      <c r="B12" s="10"/>
      <c r="C12" s="343" t="s">
        <v>17</v>
      </c>
      <c r="D12" s="344"/>
      <c r="E12" s="115">
        <f>Kapılar!D9</f>
        <v>88</v>
      </c>
      <c r="F12" s="116">
        <f>Kapılar!E9</f>
        <v>59</v>
      </c>
      <c r="G12" s="116">
        <f>Kapılar!F9</f>
        <v>0</v>
      </c>
      <c r="H12" s="117">
        <f>Kapılar!D75</f>
        <v>0</v>
      </c>
      <c r="I12" s="116">
        <f>Kapılar!E75</f>
        <v>0</v>
      </c>
      <c r="J12" s="117">
        <f>Kapılar!F75</f>
        <v>42</v>
      </c>
      <c r="K12" s="115">
        <f>Kapılar!D257</f>
        <v>0</v>
      </c>
      <c r="L12" s="116">
        <f>Kapılar!E257</f>
        <v>0</v>
      </c>
      <c r="M12" s="115">
        <f>Kapılar!F257</f>
        <v>0</v>
      </c>
      <c r="N12" s="116">
        <f>Kapılar!D128</f>
        <v>9</v>
      </c>
      <c r="O12" s="118">
        <f>Kapılar!E128</f>
        <v>6</v>
      </c>
      <c r="P12" s="119">
        <f>Kapılar!F128</f>
        <v>0</v>
      </c>
      <c r="Q12" s="119">
        <f>Kapılar!D193</f>
        <v>0</v>
      </c>
      <c r="R12" s="119">
        <f>Kapılar!E193</f>
        <v>0</v>
      </c>
      <c r="S12" s="119">
        <f>Kapılar!F193</f>
        <v>0</v>
      </c>
      <c r="T12" s="119">
        <f>Kapılar!D319</f>
        <v>0</v>
      </c>
      <c r="U12" s="115">
        <f>Kapılar!E319</f>
        <v>0</v>
      </c>
      <c r="V12" s="116">
        <f>Kapılar!F319</f>
        <v>0</v>
      </c>
      <c r="W12" s="120">
        <f t="shared" si="0"/>
        <v>139</v>
      </c>
      <c r="X12" s="10"/>
      <c r="Y12" s="10"/>
      <c r="Z12" s="10"/>
    </row>
    <row r="13" spans="1:26" s="11" customFormat="1" ht="24" customHeight="1">
      <c r="A13" s="10"/>
      <c r="B13" s="10"/>
      <c r="C13" s="343" t="s">
        <v>18</v>
      </c>
      <c r="D13" s="344"/>
      <c r="E13" s="115">
        <f>Kapılar!D10</f>
        <v>45</v>
      </c>
      <c r="F13" s="116">
        <f>Kapılar!E10</f>
        <v>36</v>
      </c>
      <c r="G13" s="116">
        <f>Kapılar!F10</f>
        <v>0</v>
      </c>
      <c r="H13" s="117">
        <f>Kapılar!D76</f>
        <v>0</v>
      </c>
      <c r="I13" s="116">
        <f>Kapılar!E76</f>
        <v>0</v>
      </c>
      <c r="J13" s="117">
        <f>Kapılar!F76</f>
        <v>5</v>
      </c>
      <c r="K13" s="115">
        <f>Kapılar!D258</f>
        <v>0</v>
      </c>
      <c r="L13" s="116">
        <f>Kapılar!E258</f>
        <v>0</v>
      </c>
      <c r="M13" s="115">
        <f>Kapılar!F258</f>
        <v>0</v>
      </c>
      <c r="N13" s="116">
        <f>Kapılar!D129</f>
        <v>0</v>
      </c>
      <c r="O13" s="118">
        <f>Kapılar!E129</f>
        <v>1</v>
      </c>
      <c r="P13" s="119">
        <f>Kapılar!F129</f>
        <v>0</v>
      </c>
      <c r="Q13" s="119">
        <f>Kapılar!D194</f>
        <v>0</v>
      </c>
      <c r="R13" s="119">
        <f>Kapılar!E194</f>
        <v>0</v>
      </c>
      <c r="S13" s="119">
        <f>Kapılar!F194</f>
        <v>0</v>
      </c>
      <c r="T13" s="119">
        <f>Kapılar!D320</f>
        <v>0</v>
      </c>
      <c r="U13" s="115">
        <f>Kapılar!E320</f>
        <v>0</v>
      </c>
      <c r="V13" s="116">
        <f>Kapılar!F320</f>
        <v>0</v>
      </c>
      <c r="W13" s="120">
        <f t="shared" si="0"/>
        <v>50</v>
      </c>
      <c r="X13" s="10"/>
      <c r="Y13" s="10"/>
      <c r="Z13" s="10"/>
    </row>
    <row r="14" spans="1:26" s="11" customFormat="1" ht="24" customHeight="1">
      <c r="A14" s="10"/>
      <c r="B14" s="10"/>
      <c r="C14" s="343" t="s">
        <v>19</v>
      </c>
      <c r="D14" s="344"/>
      <c r="E14" s="115">
        <f>Kapılar!D11</f>
        <v>856</v>
      </c>
      <c r="F14" s="116">
        <f>Kapılar!E11</f>
        <v>1547</v>
      </c>
      <c r="G14" s="116">
        <f>Kapılar!F11</f>
        <v>0</v>
      </c>
      <c r="H14" s="117">
        <f>Kapılar!D77</f>
        <v>2</v>
      </c>
      <c r="I14" s="116">
        <f>Kapılar!E77</f>
        <v>0</v>
      </c>
      <c r="J14" s="117">
        <f>Kapılar!F77</f>
        <v>1320</v>
      </c>
      <c r="K14" s="115">
        <f>Kapılar!D259</f>
        <v>0</v>
      </c>
      <c r="L14" s="115">
        <f>Kapılar!E259</f>
        <v>0</v>
      </c>
      <c r="M14" s="115">
        <f>Kapılar!F259</f>
        <v>0</v>
      </c>
      <c r="N14" s="116">
        <f>Kapılar!D130</f>
        <v>40</v>
      </c>
      <c r="O14" s="118">
        <f>Kapılar!E130</f>
        <v>48</v>
      </c>
      <c r="P14" s="119">
        <f>Kapılar!F130</f>
        <v>0</v>
      </c>
      <c r="Q14" s="119">
        <f>Kapılar!D195</f>
        <v>0</v>
      </c>
      <c r="R14" s="119">
        <f>Kapılar!E195</f>
        <v>0</v>
      </c>
      <c r="S14" s="119">
        <f>Kapılar!F195</f>
        <v>4</v>
      </c>
      <c r="T14" s="119">
        <f>Kapılar!D321</f>
        <v>0</v>
      </c>
      <c r="U14" s="115">
        <f>Kapılar!E321</f>
        <v>0</v>
      </c>
      <c r="V14" s="116">
        <f>Kapılar!F321</f>
        <v>0</v>
      </c>
      <c r="W14" s="120">
        <f t="shared" si="0"/>
        <v>2222</v>
      </c>
      <c r="X14" s="10"/>
      <c r="Y14" s="10"/>
      <c r="Z14" s="10"/>
    </row>
    <row r="15" spans="1:26" s="11" customFormat="1" ht="24" customHeight="1">
      <c r="A15" s="10"/>
      <c r="B15" s="10"/>
      <c r="C15" s="343" t="s">
        <v>20</v>
      </c>
      <c r="D15" s="344"/>
      <c r="E15" s="115">
        <f>Kapılar!D12</f>
        <v>1509</v>
      </c>
      <c r="F15" s="116">
        <f>Kapılar!E12</f>
        <v>1816</v>
      </c>
      <c r="G15" s="116">
        <f>Kapılar!F12</f>
        <v>0</v>
      </c>
      <c r="H15" s="117">
        <f>Kapılar!D78</f>
        <v>1</v>
      </c>
      <c r="I15" s="116">
        <f>Kapılar!E78</f>
        <v>0</v>
      </c>
      <c r="J15" s="117">
        <f>Kapılar!F78</f>
        <v>132</v>
      </c>
      <c r="K15" s="115">
        <f>Kapılar!D260</f>
        <v>0</v>
      </c>
      <c r="L15" s="116">
        <f>Kapılar!E260</f>
        <v>0</v>
      </c>
      <c r="M15" s="115">
        <f>Kapılar!F260</f>
        <v>0</v>
      </c>
      <c r="N15" s="121">
        <f>Kapılar!D131</f>
        <v>11</v>
      </c>
      <c r="O15" s="118">
        <f>Kapılar!E131</f>
        <v>12</v>
      </c>
      <c r="P15" s="119">
        <f>Kapılar!F131</f>
        <v>0</v>
      </c>
      <c r="Q15" s="119">
        <f>Kapılar!D196</f>
        <v>0</v>
      </c>
      <c r="R15" s="119">
        <f>Kapılar!E196</f>
        <v>0</v>
      </c>
      <c r="S15" s="119">
        <f>Kapılar!F196</f>
        <v>2</v>
      </c>
      <c r="T15" s="119">
        <f>Kapılar!D322</f>
        <v>0</v>
      </c>
      <c r="U15" s="115">
        <f>Kapılar!E322</f>
        <v>0</v>
      </c>
      <c r="V15" s="116">
        <f>Kapılar!F322</f>
        <v>0</v>
      </c>
      <c r="W15" s="120">
        <f t="shared" si="0"/>
        <v>1655</v>
      </c>
      <c r="X15" s="10"/>
      <c r="Y15" s="10"/>
      <c r="Z15" s="10"/>
    </row>
    <row r="16" spans="1:26" s="11" customFormat="1" ht="24" customHeight="1">
      <c r="A16" s="10"/>
      <c r="B16" s="10"/>
      <c r="C16" s="343" t="s">
        <v>21</v>
      </c>
      <c r="D16" s="344"/>
      <c r="E16" s="115">
        <f>Kapılar!D13</f>
        <v>1153</v>
      </c>
      <c r="F16" s="122">
        <f>Kapılar!E13</f>
        <v>1840</v>
      </c>
      <c r="G16" s="116">
        <f>Kapılar!F13</f>
        <v>0</v>
      </c>
      <c r="H16" s="117">
        <f>Kapılar!D79</f>
        <v>4</v>
      </c>
      <c r="I16" s="116">
        <f>Kapılar!E79</f>
        <v>1</v>
      </c>
      <c r="J16" s="117">
        <f>Kapılar!F79</f>
        <v>454</v>
      </c>
      <c r="K16" s="115">
        <f>Kapılar!D261</f>
        <v>0</v>
      </c>
      <c r="L16" s="116">
        <f>Kapılar!E261</f>
        <v>0</v>
      </c>
      <c r="M16" s="115">
        <f>Kapılar!F261</f>
        <v>0</v>
      </c>
      <c r="N16" s="116">
        <f>Kapılar!D132</f>
        <v>51</v>
      </c>
      <c r="O16" s="118">
        <f>Kapılar!E132</f>
        <v>49</v>
      </c>
      <c r="P16" s="119">
        <f>Kapılar!F132</f>
        <v>0</v>
      </c>
      <c r="Q16" s="119">
        <f>Kapılar!D197</f>
        <v>0</v>
      </c>
      <c r="R16" s="119">
        <f>Kapılar!E197</f>
        <v>0</v>
      </c>
      <c r="S16" s="119">
        <f>Kapılar!F197</f>
        <v>1858</v>
      </c>
      <c r="T16" s="119">
        <f>Kapılar!D323</f>
        <v>0</v>
      </c>
      <c r="U16" s="115">
        <f>Kapılar!E323</f>
        <v>0</v>
      </c>
      <c r="V16" s="116">
        <f>Kapılar!F323</f>
        <v>0</v>
      </c>
      <c r="W16" s="120">
        <f>SUM(E16+G16+H16+J16+K16+M16+N16+P16+Q16+S16+T16+V16)</f>
        <v>3520</v>
      </c>
      <c r="X16" s="10"/>
      <c r="Y16" s="10"/>
      <c r="Z16" s="10"/>
    </row>
    <row r="17" spans="1:26" s="11" customFormat="1" ht="24" customHeight="1">
      <c r="A17" s="10"/>
      <c r="B17" s="10"/>
      <c r="C17" s="343" t="s">
        <v>22</v>
      </c>
      <c r="D17" s="344"/>
      <c r="E17" s="115">
        <f>Kapılar!D14</f>
        <v>23</v>
      </c>
      <c r="F17" s="116">
        <f>Kapılar!E14</f>
        <v>258</v>
      </c>
      <c r="G17" s="116">
        <f>Kapılar!F14</f>
        <v>0</v>
      </c>
      <c r="H17" s="117">
        <f>Kapılar!D80</f>
        <v>0</v>
      </c>
      <c r="I17" s="116">
        <f>Kapılar!E80</f>
        <v>0</v>
      </c>
      <c r="J17" s="117">
        <f>Kapılar!F80</f>
        <v>15</v>
      </c>
      <c r="K17" s="115">
        <f>Kapılar!D262</f>
        <v>0</v>
      </c>
      <c r="L17" s="116">
        <f>Kapılar!E262</f>
        <v>0</v>
      </c>
      <c r="M17" s="115">
        <f>Kapılar!F262</f>
        <v>0</v>
      </c>
      <c r="N17" s="116">
        <f>Kapılar!D133</f>
        <v>1</v>
      </c>
      <c r="O17" s="118">
        <f>Kapılar!E133</f>
        <v>1</v>
      </c>
      <c r="P17" s="119">
        <f>Kapılar!F133</f>
        <v>0</v>
      </c>
      <c r="Q17" s="119">
        <f>Kapılar!D198</f>
        <v>0</v>
      </c>
      <c r="R17" s="119">
        <f>Kapılar!E198</f>
        <v>0</v>
      </c>
      <c r="S17" s="119">
        <f>Kapılar!F198</f>
        <v>3</v>
      </c>
      <c r="T17" s="119">
        <f>Kapılar!D324</f>
        <v>0</v>
      </c>
      <c r="U17" s="115">
        <f>Kapılar!E324</f>
        <v>0</v>
      </c>
      <c r="V17" s="116">
        <f>Kapılar!F324</f>
        <v>0</v>
      </c>
      <c r="W17" s="120">
        <f t="shared" si="0"/>
        <v>42</v>
      </c>
      <c r="X17" s="10"/>
      <c r="Y17" s="10"/>
      <c r="Z17" s="10"/>
    </row>
    <row r="18" spans="1:26" s="11" customFormat="1" ht="24" customHeight="1">
      <c r="A18" s="10"/>
      <c r="B18" s="10"/>
      <c r="C18" s="343" t="s">
        <v>23</v>
      </c>
      <c r="D18" s="344"/>
      <c r="E18" s="115">
        <f>Kapılar!D15</f>
        <v>723</v>
      </c>
      <c r="F18" s="116">
        <f>Kapılar!E15</f>
        <v>789</v>
      </c>
      <c r="G18" s="116">
        <f>Kapılar!F15</f>
        <v>0</v>
      </c>
      <c r="H18" s="117">
        <f>Kapılar!D81</f>
        <v>1</v>
      </c>
      <c r="I18" s="116">
        <f>Kapılar!E81</f>
        <v>4</v>
      </c>
      <c r="J18" s="117">
        <f>Kapılar!F81</f>
        <v>1142</v>
      </c>
      <c r="K18" s="115">
        <f>Kapılar!D263</f>
        <v>0</v>
      </c>
      <c r="L18" s="116">
        <f>Kapılar!E263</f>
        <v>0</v>
      </c>
      <c r="M18" s="115">
        <f>Kapılar!F263</f>
        <v>0</v>
      </c>
      <c r="N18" s="116">
        <f>Kapılar!D134</f>
        <v>4</v>
      </c>
      <c r="O18" s="118">
        <f>Kapılar!E134</f>
        <v>7</v>
      </c>
      <c r="P18" s="119">
        <f>Kapılar!F134</f>
        <v>0</v>
      </c>
      <c r="Q18" s="119">
        <f>Kapılar!D199</f>
        <v>0</v>
      </c>
      <c r="R18" s="119">
        <f>Kapılar!E199</f>
        <v>0</v>
      </c>
      <c r="S18" s="119">
        <f>Kapılar!F199</f>
        <v>0</v>
      </c>
      <c r="T18" s="119">
        <f>Kapılar!D325</f>
        <v>0</v>
      </c>
      <c r="U18" s="115">
        <f>Kapılar!E325</f>
        <v>0</v>
      </c>
      <c r="V18" s="116">
        <f>Kapılar!F325</f>
        <v>0</v>
      </c>
      <c r="W18" s="120">
        <f t="shared" si="0"/>
        <v>1870</v>
      </c>
      <c r="X18" s="10"/>
      <c r="Y18" s="10"/>
      <c r="Z18" s="10"/>
    </row>
    <row r="19" spans="1:26" s="11" customFormat="1" ht="24" customHeight="1">
      <c r="A19" s="10"/>
      <c r="B19" s="10"/>
      <c r="C19" s="343" t="s">
        <v>24</v>
      </c>
      <c r="D19" s="344"/>
      <c r="E19" s="115">
        <f>Kapılar!D16</f>
        <v>82</v>
      </c>
      <c r="F19" s="116">
        <f>Kapılar!E16</f>
        <v>85</v>
      </c>
      <c r="G19" s="116">
        <f>Kapılar!F16</f>
        <v>0</v>
      </c>
      <c r="H19" s="117">
        <f>Kapılar!D82</f>
        <v>0</v>
      </c>
      <c r="I19" s="116">
        <f>Kapılar!E82</f>
        <v>0</v>
      </c>
      <c r="J19" s="117">
        <f>Kapılar!F82</f>
        <v>319</v>
      </c>
      <c r="K19" s="115">
        <f>Kapılar!D264</f>
        <v>0</v>
      </c>
      <c r="L19" s="116">
        <f>Kapılar!E264</f>
        <v>0</v>
      </c>
      <c r="M19" s="115">
        <f>Kapılar!F264</f>
        <v>0</v>
      </c>
      <c r="N19" s="116">
        <f>Kapılar!D135</f>
        <v>6</v>
      </c>
      <c r="O19" s="118">
        <f>Kapılar!E135</f>
        <v>6</v>
      </c>
      <c r="P19" s="119">
        <f>Kapılar!F135</f>
        <v>0</v>
      </c>
      <c r="Q19" s="119">
        <f>Kapılar!D200</f>
        <v>0</v>
      </c>
      <c r="R19" s="119">
        <f>Kapılar!E200</f>
        <v>0</v>
      </c>
      <c r="S19" s="119">
        <f>Kapılar!F200</f>
        <v>0</v>
      </c>
      <c r="T19" s="119">
        <f>Kapılar!D326</f>
        <v>0</v>
      </c>
      <c r="U19" s="115">
        <f>Kapılar!E326</f>
        <v>0</v>
      </c>
      <c r="V19" s="116">
        <f>Kapılar!F326</f>
        <v>0</v>
      </c>
      <c r="W19" s="120">
        <f t="shared" si="0"/>
        <v>407</v>
      </c>
      <c r="X19" s="10"/>
      <c r="Y19" s="10"/>
      <c r="Z19" s="10"/>
    </row>
    <row r="20" spans="1:26" s="11" customFormat="1" ht="24" customHeight="1">
      <c r="A20" s="10"/>
      <c r="B20" s="10"/>
      <c r="C20" s="343" t="s">
        <v>25</v>
      </c>
      <c r="D20" s="344"/>
      <c r="E20" s="115">
        <f>Kapılar!D17</f>
        <v>478</v>
      </c>
      <c r="F20" s="116">
        <f>Kapılar!E17</f>
        <v>411</v>
      </c>
      <c r="G20" s="116">
        <f>Kapılar!F17</f>
        <v>0</v>
      </c>
      <c r="H20" s="117">
        <f>Kapılar!D83</f>
        <v>0</v>
      </c>
      <c r="I20" s="116">
        <f>Kapılar!E83</f>
        <v>0</v>
      </c>
      <c r="J20" s="117">
        <f>Kapılar!F83</f>
        <v>20</v>
      </c>
      <c r="K20" s="115">
        <f>Kapılar!D265</f>
        <v>0</v>
      </c>
      <c r="L20" s="116">
        <f>Kapılar!E265</f>
        <v>0</v>
      </c>
      <c r="M20" s="115">
        <f>Kapılar!F265</f>
        <v>0</v>
      </c>
      <c r="N20" s="116">
        <f>Kapılar!D136</f>
        <v>13</v>
      </c>
      <c r="O20" s="118">
        <f>Kapılar!E136</f>
        <v>18</v>
      </c>
      <c r="P20" s="119">
        <f>Kapılar!F136</f>
        <v>0</v>
      </c>
      <c r="Q20" s="119">
        <f>Kapılar!D201</f>
        <v>0</v>
      </c>
      <c r="R20" s="119">
        <f>Kapılar!E201</f>
        <v>0</v>
      </c>
      <c r="S20" s="119">
        <f>Kapılar!F201</f>
        <v>0</v>
      </c>
      <c r="T20" s="119">
        <f>Kapılar!D327</f>
        <v>0</v>
      </c>
      <c r="U20" s="115">
        <f>Kapılar!E327</f>
        <v>0</v>
      </c>
      <c r="V20" s="116">
        <f>Kapılar!F327</f>
        <v>0</v>
      </c>
      <c r="W20" s="120">
        <f t="shared" si="0"/>
        <v>511</v>
      </c>
      <c r="X20" s="10"/>
      <c r="Y20" s="10"/>
      <c r="Z20" s="10"/>
    </row>
    <row r="21" spans="1:26" s="11" customFormat="1" ht="24" customHeight="1" thickBot="1">
      <c r="A21" s="10"/>
      <c r="B21" s="10"/>
      <c r="C21" s="343" t="s">
        <v>26</v>
      </c>
      <c r="D21" s="344"/>
      <c r="E21" s="115">
        <f>Kapılar!D18</f>
        <v>395</v>
      </c>
      <c r="F21" s="116">
        <f>Kapılar!E18</f>
        <v>477</v>
      </c>
      <c r="G21" s="116">
        <f>Kapılar!F18</f>
        <v>0</v>
      </c>
      <c r="H21" s="117">
        <f>Kapılar!D84</f>
        <v>5</v>
      </c>
      <c r="I21" s="123">
        <f>Kapılar!E84</f>
        <v>4</v>
      </c>
      <c r="J21" s="117">
        <f>Kapılar!F84</f>
        <v>5665</v>
      </c>
      <c r="K21" s="115">
        <f>Kapılar!D266</f>
        <v>8</v>
      </c>
      <c r="L21" s="116">
        <f>Kapılar!E266</f>
        <v>3</v>
      </c>
      <c r="M21" s="115">
        <f>Kapılar!F266</f>
        <v>0</v>
      </c>
      <c r="N21" s="116">
        <f>Kapılar!D137</f>
        <v>41</v>
      </c>
      <c r="O21" s="118">
        <f>Kapılar!E137</f>
        <v>44</v>
      </c>
      <c r="P21" s="119">
        <f>Kapılar!F137</f>
        <v>0</v>
      </c>
      <c r="Q21" s="119">
        <f>Kapılar!D202</f>
        <v>0</v>
      </c>
      <c r="R21" s="119">
        <f>Kapılar!E202</f>
        <v>0</v>
      </c>
      <c r="S21" s="119">
        <f>Kapılar!F202</f>
        <v>2</v>
      </c>
      <c r="T21" s="119">
        <f>Kapılar!D328</f>
        <v>0</v>
      </c>
      <c r="U21" s="115">
        <f>Kapılar!E328</f>
        <v>0</v>
      </c>
      <c r="V21" s="116">
        <f>Kapılar!F328</f>
        <v>0</v>
      </c>
      <c r="W21" s="120">
        <f t="shared" si="0"/>
        <v>6116</v>
      </c>
      <c r="X21" s="10"/>
      <c r="Y21" s="10"/>
      <c r="Z21" s="10"/>
    </row>
    <row r="22" spans="1:26" s="11" customFormat="1" ht="24" customHeight="1">
      <c r="A22" s="10"/>
      <c r="B22" s="10"/>
      <c r="C22" s="343" t="s">
        <v>27</v>
      </c>
      <c r="D22" s="344"/>
      <c r="E22" s="115">
        <f>Kapılar!D20</f>
        <v>7</v>
      </c>
      <c r="F22" s="116">
        <f>Kapılar!E20</f>
        <v>8</v>
      </c>
      <c r="G22" s="116">
        <f>Kapılar!F20</f>
        <v>0</v>
      </c>
      <c r="H22" s="118">
        <f>Kapılar!D86</f>
        <v>0</v>
      </c>
      <c r="I22" s="124">
        <f>Kapılar!E86</f>
        <v>0</v>
      </c>
      <c r="J22" s="115">
        <f>Kapılar!F86</f>
        <v>8</v>
      </c>
      <c r="K22" s="115">
        <f>Kapılar!D268</f>
        <v>0</v>
      </c>
      <c r="L22" s="116">
        <f>Kapılar!E268</f>
        <v>0</v>
      </c>
      <c r="M22" s="115">
        <f>Kapılar!F268</f>
        <v>0</v>
      </c>
      <c r="N22" s="116">
        <f>Kapılar!D139</f>
        <v>0</v>
      </c>
      <c r="O22" s="118">
        <f>Kapılar!E139</f>
        <v>0</v>
      </c>
      <c r="P22" s="119">
        <f>Kapılar!F139</f>
        <v>0</v>
      </c>
      <c r="Q22" s="119">
        <f>Kapılar!D204</f>
        <v>0</v>
      </c>
      <c r="R22" s="119">
        <f>Kapılar!E203</f>
        <v>0</v>
      </c>
      <c r="S22" s="119">
        <f>Kapılar!F203</f>
        <v>0</v>
      </c>
      <c r="T22" s="119">
        <f>Kapılar!D329</f>
        <v>0</v>
      </c>
      <c r="U22" s="115">
        <f>Kapılar!E329</f>
        <v>0</v>
      </c>
      <c r="V22" s="116">
        <f>Kapılar!F329</f>
        <v>0</v>
      </c>
      <c r="W22" s="120">
        <f t="shared" si="0"/>
        <v>15</v>
      </c>
      <c r="X22" s="10"/>
      <c r="Y22" s="10"/>
      <c r="Z22" s="10"/>
    </row>
    <row r="23" spans="1:26" s="11" customFormat="1" ht="24" customHeight="1">
      <c r="A23" s="10"/>
      <c r="B23" s="10"/>
      <c r="C23" s="343" t="s">
        <v>28</v>
      </c>
      <c r="D23" s="344"/>
      <c r="E23" s="115">
        <f>Kapılar!D21</f>
        <v>184</v>
      </c>
      <c r="F23" s="116">
        <f>Kapılar!E21</f>
        <v>362</v>
      </c>
      <c r="G23" s="116">
        <f>Kapılar!F21</f>
        <v>0</v>
      </c>
      <c r="H23" s="118">
        <f>Kapılar!D87</f>
        <v>0</v>
      </c>
      <c r="I23" s="119">
        <f>Kapılar!E87</f>
        <v>0</v>
      </c>
      <c r="J23" s="115">
        <f>Kapılar!F87</f>
        <v>26</v>
      </c>
      <c r="K23" s="115">
        <f>Kapılar!D269</f>
        <v>0</v>
      </c>
      <c r="L23" s="116">
        <f>Kapılar!E269</f>
        <v>0</v>
      </c>
      <c r="M23" s="115">
        <f>Kapılar!F269</f>
        <v>0</v>
      </c>
      <c r="N23" s="116">
        <f>Kapılar!D140</f>
        <v>0</v>
      </c>
      <c r="O23" s="118">
        <f>Kapılar!E140</f>
        <v>0</v>
      </c>
      <c r="P23" s="119">
        <f>Kapılar!F140</f>
        <v>0</v>
      </c>
      <c r="Q23" s="119">
        <f>Kapılar!D205</f>
        <v>0</v>
      </c>
      <c r="R23" s="119">
        <f>Kapılar!E204</f>
        <v>0</v>
      </c>
      <c r="S23" s="119">
        <f>Kapılar!F204</f>
        <v>0</v>
      </c>
      <c r="T23" s="119">
        <f>Kapılar!D330</f>
        <v>0</v>
      </c>
      <c r="U23" s="115">
        <f>Kapılar!E330</f>
        <v>0</v>
      </c>
      <c r="V23" s="116">
        <f>Kapılar!F330</f>
        <v>0</v>
      </c>
      <c r="W23" s="120">
        <f t="shared" si="0"/>
        <v>210</v>
      </c>
      <c r="X23" s="10"/>
      <c r="Y23" s="10"/>
      <c r="Z23" s="10"/>
    </row>
    <row r="24" spans="1:26" s="11" customFormat="1" ht="24" customHeight="1">
      <c r="A24" s="10"/>
      <c r="B24" s="10"/>
      <c r="C24" s="343" t="s">
        <v>29</v>
      </c>
      <c r="D24" s="344"/>
      <c r="E24" s="115">
        <f>Kapılar!D22</f>
        <v>64</v>
      </c>
      <c r="F24" s="116">
        <f>Kapılar!E22</f>
        <v>47</v>
      </c>
      <c r="G24" s="116">
        <f>Kapılar!F22</f>
        <v>0</v>
      </c>
      <c r="H24" s="118">
        <f>Kapılar!D88</f>
        <v>0</v>
      </c>
      <c r="I24" s="119">
        <f>Kapılar!E88</f>
        <v>0</v>
      </c>
      <c r="J24" s="115">
        <f>Kapılar!F88</f>
        <v>91</v>
      </c>
      <c r="K24" s="115">
        <f>Kapılar!D270</f>
        <v>0</v>
      </c>
      <c r="L24" s="116">
        <f>Kapılar!E270</f>
        <v>0</v>
      </c>
      <c r="M24" s="115">
        <f>Kapılar!F270</f>
        <v>0</v>
      </c>
      <c r="N24" s="116">
        <f>Kapılar!D141</f>
        <v>2</v>
      </c>
      <c r="O24" s="118">
        <f>Kapılar!E141</f>
        <v>2</v>
      </c>
      <c r="P24" s="119">
        <f>Kapılar!F141</f>
        <v>0</v>
      </c>
      <c r="Q24" s="119">
        <f>Kapılar!D206</f>
        <v>0</v>
      </c>
      <c r="R24" s="119">
        <f>Kapılar!E205</f>
        <v>0</v>
      </c>
      <c r="S24" s="119">
        <f>Kapılar!F205</f>
        <v>0</v>
      </c>
      <c r="T24" s="119">
        <f>Kapılar!D331</f>
        <v>0</v>
      </c>
      <c r="U24" s="115">
        <f>Kapılar!E331</f>
        <v>0</v>
      </c>
      <c r="V24" s="116">
        <f>Kapılar!F331</f>
        <v>0</v>
      </c>
      <c r="W24" s="120">
        <f t="shared" si="0"/>
        <v>157</v>
      </c>
      <c r="X24" s="10"/>
      <c r="Y24" s="10"/>
      <c r="Z24" s="10"/>
    </row>
    <row r="25" spans="1:26" s="11" customFormat="1" ht="24" customHeight="1">
      <c r="A25" s="10"/>
      <c r="B25" s="10"/>
      <c r="C25" s="343" t="s">
        <v>30</v>
      </c>
      <c r="D25" s="344"/>
      <c r="E25" s="115">
        <f>Kapılar!D23</f>
        <v>407</v>
      </c>
      <c r="F25" s="116">
        <f>Kapılar!E23</f>
        <v>628</v>
      </c>
      <c r="G25" s="116">
        <f>Kapılar!F23</f>
        <v>0</v>
      </c>
      <c r="H25" s="118">
        <f>Kapılar!D89</f>
        <v>1</v>
      </c>
      <c r="I25" s="119">
        <f>Kapılar!E89</f>
        <v>0</v>
      </c>
      <c r="J25" s="119">
        <f>Kapılar!F89</f>
        <v>3</v>
      </c>
      <c r="K25" s="115">
        <f>Kapılar!D271</f>
        <v>12</v>
      </c>
      <c r="L25" s="116">
        <f>Kapılar!E271</f>
        <v>2</v>
      </c>
      <c r="M25" s="115">
        <f>Kapılar!F271</f>
        <v>0</v>
      </c>
      <c r="N25" s="116">
        <f>Kapılar!D142</f>
        <v>579</v>
      </c>
      <c r="O25" s="118">
        <f>Kapılar!E142</f>
        <v>594</v>
      </c>
      <c r="P25" s="119">
        <f>Kapılar!F142</f>
        <v>0</v>
      </c>
      <c r="Q25" s="119">
        <f>Kapılar!D207</f>
        <v>0</v>
      </c>
      <c r="R25" s="119">
        <f>Kapılar!E206</f>
        <v>0</v>
      </c>
      <c r="S25" s="119">
        <f>Kapılar!F206</f>
        <v>0</v>
      </c>
      <c r="T25" s="119">
        <f>Kapılar!D332</f>
        <v>0</v>
      </c>
      <c r="U25" s="115">
        <f>Kapılar!E333</f>
        <v>0</v>
      </c>
      <c r="V25" s="116">
        <f>Kapılar!F332</f>
        <v>0</v>
      </c>
      <c r="W25" s="120">
        <f t="shared" si="0"/>
        <v>1002</v>
      </c>
      <c r="X25" s="10"/>
      <c r="Y25" s="10"/>
      <c r="Z25" s="10"/>
    </row>
    <row r="26" spans="1:26" s="11" customFormat="1" ht="24" customHeight="1">
      <c r="A26" s="10"/>
      <c r="B26" s="10"/>
      <c r="C26" s="343" t="s">
        <v>31</v>
      </c>
      <c r="D26" s="344"/>
      <c r="E26" s="115">
        <f>Kapılar!D24</f>
        <v>449</v>
      </c>
      <c r="F26" s="116">
        <f>Kapılar!E24</f>
        <v>520</v>
      </c>
      <c r="G26" s="116">
        <f>Kapılar!F24</f>
        <v>0</v>
      </c>
      <c r="H26" s="118">
        <f>Kapılar!D90</f>
        <v>9</v>
      </c>
      <c r="I26" s="119">
        <f>Kapılar!E90</f>
        <v>6</v>
      </c>
      <c r="J26" s="119">
        <f>Kapılar!F90</f>
        <v>3265</v>
      </c>
      <c r="K26" s="115">
        <f>Kapılar!D272</f>
        <v>0</v>
      </c>
      <c r="L26" s="116">
        <f>Kapılar!E272</f>
        <v>0</v>
      </c>
      <c r="M26" s="115">
        <f>Kapılar!F272</f>
        <v>0</v>
      </c>
      <c r="N26" s="116">
        <f>Kapılar!D143</f>
        <v>56</v>
      </c>
      <c r="O26" s="118">
        <f>Kapılar!E143</f>
        <v>43</v>
      </c>
      <c r="P26" s="119">
        <f>Kapılar!F143</f>
        <v>0</v>
      </c>
      <c r="Q26" s="119">
        <f>Kapılar!D208</f>
        <v>0</v>
      </c>
      <c r="R26" s="119">
        <f>Kapılar!E207</f>
        <v>0</v>
      </c>
      <c r="S26" s="119">
        <f>Kapılar!F207</f>
        <v>4</v>
      </c>
      <c r="T26" s="119">
        <f>Kapılar!D333</f>
        <v>0</v>
      </c>
      <c r="U26" s="115">
        <f>Kapılar!E334</f>
        <v>0</v>
      </c>
      <c r="V26" s="116">
        <f>Kapılar!F333</f>
        <v>0</v>
      </c>
      <c r="W26" s="120">
        <f t="shared" si="0"/>
        <v>3783</v>
      </c>
      <c r="X26" s="10"/>
      <c r="Y26" s="10"/>
      <c r="Z26" s="10"/>
    </row>
    <row r="27" spans="1:26" s="11" customFormat="1" ht="24" customHeight="1">
      <c r="A27" s="10"/>
      <c r="B27" s="10"/>
      <c r="C27" s="343" t="s">
        <v>32</v>
      </c>
      <c r="D27" s="344"/>
      <c r="E27" s="115">
        <f>Kapılar!D25</f>
        <v>38</v>
      </c>
      <c r="F27" s="116">
        <f>Kapılar!E25</f>
        <v>55</v>
      </c>
      <c r="G27" s="116">
        <f>Kapılar!F25</f>
        <v>0</v>
      </c>
      <c r="H27" s="118">
        <f>Kapılar!D91</f>
        <v>0</v>
      </c>
      <c r="I27" s="119">
        <f>Kapılar!E91</f>
        <v>0</v>
      </c>
      <c r="J27" s="119">
        <f>Kapılar!F91</f>
        <v>216</v>
      </c>
      <c r="K27" s="115">
        <f>Kapılar!D273</f>
        <v>0</v>
      </c>
      <c r="L27" s="116">
        <f>Kapılar!E273</f>
        <v>0</v>
      </c>
      <c r="M27" s="115">
        <f>Kapılar!F273</f>
        <v>0</v>
      </c>
      <c r="N27" s="116">
        <f>Kapılar!D144</f>
        <v>13</v>
      </c>
      <c r="O27" s="118">
        <f>Kapılar!E144</f>
        <v>5</v>
      </c>
      <c r="P27" s="119">
        <f>Kapılar!F144</f>
        <v>0</v>
      </c>
      <c r="Q27" s="119">
        <f>Kapılar!D209</f>
        <v>0</v>
      </c>
      <c r="R27" s="119">
        <f>Kapılar!E208</f>
        <v>0</v>
      </c>
      <c r="S27" s="119">
        <f>Kapılar!F208</f>
        <v>251</v>
      </c>
      <c r="T27" s="119">
        <f>Kapılar!D334</f>
        <v>0</v>
      </c>
      <c r="U27" s="115">
        <f>Kapılar!E335</f>
        <v>0</v>
      </c>
      <c r="V27" s="116">
        <f>Kapılar!F334</f>
        <v>0</v>
      </c>
      <c r="W27" s="120">
        <f t="shared" si="0"/>
        <v>518</v>
      </c>
      <c r="X27" s="10"/>
      <c r="Y27" s="10"/>
      <c r="Z27" s="10"/>
    </row>
    <row r="28" spans="1:26" s="11" customFormat="1" ht="24" customHeight="1">
      <c r="A28" s="10"/>
      <c r="B28" s="10"/>
      <c r="C28" s="343" t="s">
        <v>33</v>
      </c>
      <c r="D28" s="344"/>
      <c r="E28" s="115">
        <f>Kapılar!D26</f>
        <v>21</v>
      </c>
      <c r="F28" s="116">
        <f>Kapılar!E26</f>
        <v>16</v>
      </c>
      <c r="G28" s="116">
        <f>Kapılar!F26</f>
        <v>0</v>
      </c>
      <c r="H28" s="118">
        <f>Kapılar!D92</f>
        <v>0</v>
      </c>
      <c r="I28" s="119">
        <f>Kapılar!E91</f>
        <v>0</v>
      </c>
      <c r="J28" s="119">
        <f>Kapılar!F92</f>
        <v>31</v>
      </c>
      <c r="K28" s="115">
        <f>Kapılar!D274</f>
        <v>0</v>
      </c>
      <c r="L28" s="116">
        <f>Kapılar!E274</f>
        <v>0</v>
      </c>
      <c r="M28" s="115">
        <f>Kapılar!F274</f>
        <v>0</v>
      </c>
      <c r="N28" s="116">
        <f>Kapılar!D145</f>
        <v>3</v>
      </c>
      <c r="O28" s="118">
        <f>Kapılar!E145</f>
        <v>0</v>
      </c>
      <c r="P28" s="119">
        <f>Kapılar!F145</f>
        <v>0</v>
      </c>
      <c r="Q28" s="119">
        <f>Kapılar!D210</f>
        <v>0</v>
      </c>
      <c r="R28" s="119">
        <f>Kapılar!E209</f>
        <v>0</v>
      </c>
      <c r="S28" s="119">
        <f>Kapılar!F209</f>
        <v>17</v>
      </c>
      <c r="T28" s="119">
        <f>Kapılar!D335</f>
        <v>0</v>
      </c>
      <c r="U28" s="115">
        <f>Kapılar!E335</f>
        <v>0</v>
      </c>
      <c r="V28" s="116">
        <f>Kapılar!F335</f>
        <v>0</v>
      </c>
      <c r="W28" s="120">
        <f t="shared" si="0"/>
        <v>72</v>
      </c>
      <c r="X28" s="10"/>
      <c r="Y28" s="10"/>
      <c r="Z28" s="10"/>
    </row>
    <row r="29" spans="1:26" s="11" customFormat="1" ht="24" customHeight="1">
      <c r="A29" s="10"/>
      <c r="B29" s="10"/>
      <c r="C29" s="343" t="s">
        <v>34</v>
      </c>
      <c r="D29" s="344"/>
      <c r="E29" s="115">
        <f>Kapılar!D27</f>
        <v>74</v>
      </c>
      <c r="F29" s="116">
        <f>Kapılar!E27</f>
        <v>84</v>
      </c>
      <c r="G29" s="116">
        <f>Kapılar!F27</f>
        <v>0</v>
      </c>
      <c r="H29" s="118">
        <f>Kapılar!D93</f>
        <v>0</v>
      </c>
      <c r="I29" s="119">
        <f>Kapılar!E93</f>
        <v>0</v>
      </c>
      <c r="J29" s="119">
        <f>Kapılar!F93</f>
        <v>612</v>
      </c>
      <c r="K29" s="115">
        <f>Kapılar!D275</f>
        <v>0</v>
      </c>
      <c r="L29" s="116">
        <f>Kapılar!E275</f>
        <v>0</v>
      </c>
      <c r="M29" s="115">
        <f>Kapılar!F275</f>
        <v>0</v>
      </c>
      <c r="N29" s="116">
        <f>Kapılar!D146</f>
        <v>9</v>
      </c>
      <c r="O29" s="118">
        <f>Kapılar!E146</f>
        <v>7</v>
      </c>
      <c r="P29" s="119">
        <f>Kapılar!F146</f>
        <v>0</v>
      </c>
      <c r="Q29" s="119">
        <f>Kapılar!D211</f>
        <v>0</v>
      </c>
      <c r="R29" s="119">
        <f>Kapılar!E210</f>
        <v>0</v>
      </c>
      <c r="S29" s="119">
        <f>Kapılar!F210</f>
        <v>0</v>
      </c>
      <c r="T29" s="119">
        <f>Kapılar!D336</f>
        <v>0</v>
      </c>
      <c r="U29" s="115">
        <f>Kapılar!E336</f>
        <v>0</v>
      </c>
      <c r="V29" s="116">
        <f>Kapılar!F336</f>
        <v>0</v>
      </c>
      <c r="W29" s="120">
        <f t="shared" si="0"/>
        <v>695</v>
      </c>
      <c r="X29" s="10"/>
      <c r="Y29" s="10"/>
      <c r="Z29" s="10"/>
    </row>
    <row r="30" spans="1:26" s="11" customFormat="1" ht="24" customHeight="1">
      <c r="A30" s="10"/>
      <c r="B30" s="10"/>
      <c r="C30" s="125" t="s">
        <v>79</v>
      </c>
      <c r="D30" s="126"/>
      <c r="E30" s="115">
        <f>Kapılar!D28</f>
        <v>10</v>
      </c>
      <c r="F30" s="116">
        <f>Kapılar!E28</f>
        <v>9</v>
      </c>
      <c r="G30" s="116">
        <f>Kapılar!F28</f>
        <v>0</v>
      </c>
      <c r="H30" s="118">
        <f>Kapılar!D94</f>
        <v>0</v>
      </c>
      <c r="I30" s="119">
        <f>Kapılar!E94</f>
        <v>0</v>
      </c>
      <c r="J30" s="119">
        <f>Kapılar!F94</f>
        <v>7</v>
      </c>
      <c r="K30" s="115">
        <f>Kapılar!D276</f>
        <v>0</v>
      </c>
      <c r="L30" s="116">
        <f>Kapılar!E276</f>
        <v>0</v>
      </c>
      <c r="M30" s="115">
        <f>Kapılar!F276</f>
        <v>0</v>
      </c>
      <c r="N30" s="116">
        <f>Kapılar!D147</f>
        <v>1</v>
      </c>
      <c r="O30" s="118">
        <f>Kapılar!E147</f>
        <v>1</v>
      </c>
      <c r="P30" s="119">
        <f>Kapılar!F147</f>
        <v>0</v>
      </c>
      <c r="Q30" s="119">
        <f>Kapılar!D212</f>
        <v>0</v>
      </c>
      <c r="R30" s="119">
        <f>Kapılar!E211</f>
        <v>0</v>
      </c>
      <c r="S30" s="119">
        <f>Kapılar!F211</f>
        <v>1</v>
      </c>
      <c r="T30" s="119">
        <f>Kapılar!D337</f>
        <v>0</v>
      </c>
      <c r="U30" s="115">
        <f>Kapılar!E337</f>
        <v>0</v>
      </c>
      <c r="V30" s="116">
        <f>Kapılar!F337</f>
        <v>0</v>
      </c>
      <c r="W30" s="120">
        <f t="shared" si="0"/>
        <v>19</v>
      </c>
      <c r="X30" s="10"/>
      <c r="Y30" s="10"/>
      <c r="Z30" s="10"/>
    </row>
    <row r="31" spans="1:26" s="11" customFormat="1" ht="24" customHeight="1">
      <c r="A31" s="10"/>
      <c r="B31" s="10"/>
      <c r="C31" s="343" t="s">
        <v>35</v>
      </c>
      <c r="D31" s="344"/>
      <c r="E31" s="115">
        <f>Kapılar!D31</f>
        <v>116</v>
      </c>
      <c r="F31" s="116">
        <f>Kapılar!E31</f>
        <v>113</v>
      </c>
      <c r="G31" s="116">
        <f>Kapılar!F31</f>
        <v>0</v>
      </c>
      <c r="H31" s="118">
        <f>Kapılar!D97</f>
        <v>0</v>
      </c>
      <c r="I31" s="119">
        <f>Kapılar!E97</f>
        <v>1</v>
      </c>
      <c r="J31" s="119">
        <f>Kapılar!F97</f>
        <v>5</v>
      </c>
      <c r="K31" s="115">
        <f>Kapılar!D279</f>
        <v>10</v>
      </c>
      <c r="L31" s="116">
        <f>Kapılar!E279</f>
        <v>0</v>
      </c>
      <c r="M31" s="115">
        <f>Kapılar!F279</f>
        <v>0</v>
      </c>
      <c r="N31" s="116">
        <f>Kapılar!D150</f>
        <v>17</v>
      </c>
      <c r="O31" s="118">
        <f>Kapılar!E150</f>
        <v>14</v>
      </c>
      <c r="P31" s="119">
        <f>Kapılar!F150</f>
        <v>0</v>
      </c>
      <c r="Q31" s="119">
        <f>Kapılar!D215</f>
        <v>0</v>
      </c>
      <c r="R31" s="119">
        <f>Kapılar!E212</f>
        <v>0</v>
      </c>
      <c r="S31" s="119">
        <f>Kapılar!F212</f>
        <v>1</v>
      </c>
      <c r="T31" s="119">
        <f>Kapılar!D341</f>
        <v>0</v>
      </c>
      <c r="U31" s="115">
        <f>Kapılar!E341</f>
        <v>0</v>
      </c>
      <c r="V31" s="116">
        <f>Kapılar!F341</f>
        <v>0</v>
      </c>
      <c r="W31" s="120">
        <f t="shared" si="0"/>
        <v>149</v>
      </c>
      <c r="X31" s="10"/>
      <c r="Y31" s="10"/>
      <c r="Z31" s="10"/>
    </row>
    <row r="32" spans="1:26" s="11" customFormat="1" ht="24" customHeight="1">
      <c r="A32" s="10"/>
      <c r="B32" s="10"/>
      <c r="C32" s="125" t="s">
        <v>36</v>
      </c>
      <c r="D32" s="126"/>
      <c r="E32" s="115">
        <f>Kapılar!D32</f>
        <v>34</v>
      </c>
      <c r="F32" s="116">
        <f>Kapılar!E32</f>
        <v>48</v>
      </c>
      <c r="G32" s="116">
        <f>Kapılar!F32</f>
        <v>0</v>
      </c>
      <c r="H32" s="118">
        <f>Kapılar!D98</f>
        <v>0</v>
      </c>
      <c r="I32" s="119">
        <f>Kapılar!E98</f>
        <v>0</v>
      </c>
      <c r="J32" s="119">
        <f>Kapılar!F98</f>
        <v>13</v>
      </c>
      <c r="K32" s="115">
        <f>Kapılar!D280</f>
        <v>0</v>
      </c>
      <c r="L32" s="116">
        <f>Kapılar!E280</f>
        <v>0</v>
      </c>
      <c r="M32" s="115">
        <f>Kapılar!F280</f>
        <v>0</v>
      </c>
      <c r="N32" s="116">
        <f>Kapılar!D151</f>
        <v>1</v>
      </c>
      <c r="O32" s="118">
        <f>Kapılar!E151</f>
        <v>0</v>
      </c>
      <c r="P32" s="119">
        <f>Kapılar!F151</f>
        <v>0</v>
      </c>
      <c r="Q32" s="119">
        <f>Kapılar!D216</f>
        <v>0</v>
      </c>
      <c r="R32" s="119">
        <f>Kapılar!E213</f>
        <v>0</v>
      </c>
      <c r="S32" s="119">
        <f>Kapılar!F213</f>
        <v>0</v>
      </c>
      <c r="T32" s="119">
        <f>Kapılar!D342</f>
        <v>0</v>
      </c>
      <c r="U32" s="115">
        <f>Kapılar!E342</f>
        <v>0</v>
      </c>
      <c r="V32" s="116">
        <f>Kapılar!F342</f>
        <v>0</v>
      </c>
      <c r="W32" s="120">
        <f t="shared" si="0"/>
        <v>48</v>
      </c>
      <c r="X32" s="10"/>
      <c r="Y32" s="10"/>
      <c r="Z32" s="10"/>
    </row>
    <row r="33" spans="1:26" s="11" customFormat="1" ht="24" customHeight="1">
      <c r="A33" s="10"/>
      <c r="B33" s="10"/>
      <c r="C33" s="343" t="s">
        <v>37</v>
      </c>
      <c r="D33" s="344"/>
      <c r="E33" s="115">
        <f>Kapılar!D33</f>
        <v>21</v>
      </c>
      <c r="F33" s="116">
        <f>Kapılar!E33</f>
        <v>26</v>
      </c>
      <c r="G33" s="116">
        <f>Kapılar!F33</f>
        <v>0</v>
      </c>
      <c r="H33" s="118">
        <f>Kapılar!D99</f>
        <v>0</v>
      </c>
      <c r="I33" s="119">
        <f>Kapılar!E99</f>
        <v>0</v>
      </c>
      <c r="J33" s="119">
        <f>Kapılar!F99</f>
        <v>28</v>
      </c>
      <c r="K33" s="115">
        <f>Kapılar!D281</f>
        <v>0</v>
      </c>
      <c r="L33" s="116">
        <f>Kapılar!E281</f>
        <v>0</v>
      </c>
      <c r="M33" s="115">
        <f>Kapılar!F281</f>
        <v>0</v>
      </c>
      <c r="N33" s="116">
        <f>Kapılar!D152</f>
        <v>5</v>
      </c>
      <c r="O33" s="118">
        <f>Kapılar!E152</f>
        <v>6</v>
      </c>
      <c r="P33" s="119">
        <f>Kapılar!F152</f>
        <v>0</v>
      </c>
      <c r="Q33" s="119">
        <f>Kapılar!D217</f>
        <v>0</v>
      </c>
      <c r="R33" s="119">
        <f>Kapılar!E214</f>
        <v>0</v>
      </c>
      <c r="S33" s="119">
        <f>Kapılar!F214</f>
        <v>0</v>
      </c>
      <c r="T33" s="119">
        <f>Kapılar!D343</f>
        <v>0</v>
      </c>
      <c r="U33" s="115">
        <f>Kapılar!E343</f>
        <v>0</v>
      </c>
      <c r="V33" s="116">
        <f>Kapılar!F343</f>
        <v>0</v>
      </c>
      <c r="W33" s="120">
        <f t="shared" si="0"/>
        <v>54</v>
      </c>
      <c r="X33" s="10"/>
      <c r="Y33" s="10"/>
      <c r="Z33" s="10"/>
    </row>
    <row r="34" spans="1:26" s="11" customFormat="1" ht="24" customHeight="1">
      <c r="A34" s="10"/>
      <c r="B34" s="10"/>
      <c r="C34" s="343" t="s">
        <v>38</v>
      </c>
      <c r="D34" s="344"/>
      <c r="E34" s="115">
        <f>Kapılar!D34</f>
        <v>100</v>
      </c>
      <c r="F34" s="116">
        <f>Kapılar!E34</f>
        <v>121</v>
      </c>
      <c r="G34" s="116">
        <f>Kapılar!F34</f>
        <v>0</v>
      </c>
      <c r="H34" s="118">
        <f>Kapılar!D100</f>
        <v>2</v>
      </c>
      <c r="I34" s="119">
        <f>Kapılar!E100</f>
        <v>4</v>
      </c>
      <c r="J34" s="119">
        <f>Kapılar!F100</f>
        <v>39</v>
      </c>
      <c r="K34" s="115">
        <f>Kapılar!D282</f>
        <v>1</v>
      </c>
      <c r="L34" s="116">
        <f>Kapılar!E282</f>
        <v>0</v>
      </c>
      <c r="M34" s="115">
        <f>Kapılar!F282</f>
        <v>0</v>
      </c>
      <c r="N34" s="116">
        <f>Kapılar!D153</f>
        <v>4</v>
      </c>
      <c r="O34" s="118">
        <f>Kapılar!E153</f>
        <v>3</v>
      </c>
      <c r="P34" s="119">
        <f>Kapılar!F153</f>
        <v>0</v>
      </c>
      <c r="Q34" s="119">
        <f>Kapılar!D218</f>
        <v>0</v>
      </c>
      <c r="R34" s="119">
        <f>Kapılar!E215</f>
        <v>0</v>
      </c>
      <c r="S34" s="119">
        <f>Kapılar!F215</f>
        <v>0</v>
      </c>
      <c r="T34" s="119">
        <f>Kapılar!D344</f>
        <v>0</v>
      </c>
      <c r="U34" s="115">
        <f>Kapılar!E344</f>
        <v>0</v>
      </c>
      <c r="V34" s="116">
        <f>Kapılar!F344</f>
        <v>0</v>
      </c>
      <c r="W34" s="120">
        <f t="shared" si="0"/>
        <v>146</v>
      </c>
      <c r="X34" s="10"/>
      <c r="Y34" s="10"/>
      <c r="Z34" s="10"/>
    </row>
    <row r="35" spans="1:26" s="11" customFormat="1" ht="24" customHeight="1">
      <c r="A35" s="10"/>
      <c r="B35" s="10"/>
      <c r="C35" s="343" t="s">
        <v>39</v>
      </c>
      <c r="D35" s="344"/>
      <c r="E35" s="115">
        <f>Kapılar!D35</f>
        <v>20</v>
      </c>
      <c r="F35" s="116">
        <f>Kapılar!E35</f>
        <v>19</v>
      </c>
      <c r="G35" s="116">
        <f>Kapılar!F35</f>
        <v>0</v>
      </c>
      <c r="H35" s="118">
        <f>Kapılar!D101</f>
        <v>3</v>
      </c>
      <c r="I35" s="119">
        <f>Kapılar!E101</f>
        <v>2</v>
      </c>
      <c r="J35" s="119">
        <f>Kapılar!F101</f>
        <v>36</v>
      </c>
      <c r="K35" s="115">
        <f>Kapılar!D283</f>
        <v>10</v>
      </c>
      <c r="L35" s="116">
        <f>Kapılar!E283</f>
        <v>6</v>
      </c>
      <c r="M35" s="115">
        <f>Kapılar!F283</f>
        <v>0</v>
      </c>
      <c r="N35" s="116">
        <f>Kapılar!D154</f>
        <v>7</v>
      </c>
      <c r="O35" s="118">
        <f>Kapılar!E154</f>
        <v>12</v>
      </c>
      <c r="P35" s="119">
        <f>Kapılar!F154</f>
        <v>0</v>
      </c>
      <c r="Q35" s="119">
        <f>Kapılar!D219</f>
        <v>0</v>
      </c>
      <c r="R35" s="119">
        <f>Kapılar!E216</f>
        <v>0</v>
      </c>
      <c r="S35" s="119">
        <f>Kapılar!F216</f>
        <v>0</v>
      </c>
      <c r="T35" s="119">
        <f>Kapılar!D345</f>
        <v>0</v>
      </c>
      <c r="U35" s="115">
        <f>Kapılar!E345</f>
        <v>0</v>
      </c>
      <c r="V35" s="116">
        <f>Kapılar!F345</f>
        <v>0</v>
      </c>
      <c r="W35" s="120">
        <f t="shared" si="0"/>
        <v>76</v>
      </c>
      <c r="X35" s="10"/>
      <c r="Y35" s="10"/>
      <c r="Z35" s="10"/>
    </row>
    <row r="36" spans="1:26" s="11" customFormat="1" ht="24" customHeight="1">
      <c r="A36" s="10"/>
      <c r="B36" s="10"/>
      <c r="C36" s="125" t="s">
        <v>150</v>
      </c>
      <c r="D36" s="126"/>
      <c r="E36" s="115">
        <f>Kapılar!D36</f>
        <v>54</v>
      </c>
      <c r="F36" s="116">
        <f>Kapılar!E36</f>
        <v>27</v>
      </c>
      <c r="G36" s="116">
        <f>Kapılar!F36</f>
        <v>0</v>
      </c>
      <c r="H36" s="118">
        <f>Kapılar!D102</f>
        <v>3</v>
      </c>
      <c r="I36" s="119">
        <f>Kapılar!E102</f>
        <v>1</v>
      </c>
      <c r="J36" s="119">
        <f>Kapılar!F102</f>
        <v>26</v>
      </c>
      <c r="K36" s="115">
        <f>Kapılar!D284</f>
        <v>15</v>
      </c>
      <c r="L36" s="116">
        <f>Kapılar!E284</f>
        <v>14</v>
      </c>
      <c r="M36" s="115">
        <f>Kapılar!F284</f>
        <v>0</v>
      </c>
      <c r="N36" s="116">
        <f>Kapılar!D155</f>
        <v>3</v>
      </c>
      <c r="O36" s="118">
        <f>Kapılar!E155</f>
        <v>3</v>
      </c>
      <c r="P36" s="119">
        <f>Kapılar!F155</f>
        <v>0</v>
      </c>
      <c r="Q36" s="119">
        <f>Kapılar!D220</f>
        <v>0</v>
      </c>
      <c r="R36" s="119">
        <f>Kapılar!E220</f>
        <v>0</v>
      </c>
      <c r="S36" s="119">
        <f>Kapılar!F217</f>
        <v>0</v>
      </c>
      <c r="T36" s="119">
        <f>Kapılar!D346</f>
        <v>0</v>
      </c>
      <c r="U36" s="115">
        <f>Kapılar!E346</f>
        <v>0</v>
      </c>
      <c r="V36" s="116">
        <f>Kapılar!F346</f>
        <v>0</v>
      </c>
      <c r="W36" s="120">
        <f t="shared" si="0"/>
        <v>101</v>
      </c>
      <c r="X36" s="10"/>
      <c r="Y36" s="10"/>
      <c r="Z36" s="10"/>
    </row>
    <row r="37" spans="1:26" s="11" customFormat="1" ht="24" customHeight="1">
      <c r="A37" s="10"/>
      <c r="B37" s="10"/>
      <c r="C37" s="343" t="s">
        <v>40</v>
      </c>
      <c r="D37" s="344"/>
      <c r="E37" s="115">
        <f>Kapılar!D37</f>
        <v>0</v>
      </c>
      <c r="F37" s="116">
        <f>Kapılar!E37</f>
        <v>0</v>
      </c>
      <c r="G37" s="116">
        <f>Kapılar!F37</f>
        <v>0</v>
      </c>
      <c r="H37" s="118">
        <f>Kapılar!D103</f>
        <v>0</v>
      </c>
      <c r="I37" s="119">
        <f>Kapılar!E103</f>
        <v>0</v>
      </c>
      <c r="J37" s="119">
        <f>Kapılar!F103</f>
        <v>0</v>
      </c>
      <c r="K37" s="115">
        <f>Kapılar!D285</f>
        <v>0</v>
      </c>
      <c r="L37" s="116">
        <f>Kapılar!E285</f>
        <v>0</v>
      </c>
      <c r="M37" s="115">
        <f>Kapılar!F285</f>
        <v>0</v>
      </c>
      <c r="N37" s="116">
        <f>Kapılar!D156</f>
        <v>0</v>
      </c>
      <c r="O37" s="118">
        <f>Kapılar!E156</f>
        <v>0</v>
      </c>
      <c r="P37" s="119">
        <f>Kapılar!F156</f>
        <v>0</v>
      </c>
      <c r="Q37" s="119">
        <f>Kapılar!D221</f>
        <v>0</v>
      </c>
      <c r="R37" s="119">
        <f>Kapılar!E221</f>
        <v>0</v>
      </c>
      <c r="S37" s="119">
        <f>Kapılar!F218</f>
        <v>0</v>
      </c>
      <c r="T37" s="119">
        <f>Kapılar!D347</f>
        <v>0</v>
      </c>
      <c r="U37" s="115">
        <f>Kapılar!E347</f>
        <v>0</v>
      </c>
      <c r="V37" s="116">
        <f>Kapılar!F347</f>
        <v>0</v>
      </c>
      <c r="W37" s="120">
        <f t="shared" si="0"/>
        <v>0</v>
      </c>
      <c r="X37" s="10"/>
      <c r="Y37" s="10"/>
      <c r="Z37" s="10"/>
    </row>
    <row r="38" spans="1:26" s="11" customFormat="1" ht="24" customHeight="1">
      <c r="A38" s="10"/>
      <c r="B38" s="10"/>
      <c r="C38" s="343" t="s">
        <v>41</v>
      </c>
      <c r="D38" s="344"/>
      <c r="E38" s="115">
        <f>Kapılar!D41</f>
        <v>4</v>
      </c>
      <c r="F38" s="116">
        <f>Kapılar!E41</f>
        <v>1</v>
      </c>
      <c r="G38" s="116">
        <f>Kapılar!F41</f>
        <v>0</v>
      </c>
      <c r="H38" s="118">
        <f>Kapılar!D107</f>
        <v>0</v>
      </c>
      <c r="I38" s="119">
        <f>Kapılar!E107</f>
        <v>0</v>
      </c>
      <c r="J38" s="119">
        <f>Kapılar!F107</f>
        <v>0</v>
      </c>
      <c r="K38" s="115">
        <f>Kapılar!D289</f>
        <v>0</v>
      </c>
      <c r="L38" s="116">
        <f>Kapılar!E289</f>
        <v>0</v>
      </c>
      <c r="M38" s="115">
        <f>Kapılar!F289</f>
        <v>0</v>
      </c>
      <c r="N38" s="116">
        <f>Kapılar!D160</f>
        <v>0</v>
      </c>
      <c r="O38" s="118">
        <f>Kapılar!E160</f>
        <v>0</v>
      </c>
      <c r="P38" s="119">
        <f>Kapılar!F160</f>
        <v>0</v>
      </c>
      <c r="Q38" s="119">
        <f>Kapılar!D225</f>
        <v>0</v>
      </c>
      <c r="R38" s="119">
        <f>Kapılar!E225</f>
        <v>0</v>
      </c>
      <c r="S38" s="119">
        <f>Kapılar!F219</f>
        <v>0</v>
      </c>
      <c r="T38" s="119">
        <f>Kapılar!D351</f>
        <v>0</v>
      </c>
      <c r="U38" s="115">
        <f>Kapılar!E351</f>
        <v>0</v>
      </c>
      <c r="V38" s="116">
        <f>Kapılar!F351</f>
        <v>0</v>
      </c>
      <c r="W38" s="120">
        <f t="shared" si="0"/>
        <v>4</v>
      </c>
      <c r="X38" s="10"/>
      <c r="Y38" s="10"/>
      <c r="Z38" s="10"/>
    </row>
    <row r="39" spans="1:26" s="11" customFormat="1" ht="24" customHeight="1">
      <c r="A39" s="10"/>
      <c r="B39" s="10"/>
      <c r="C39" s="343" t="s">
        <v>131</v>
      </c>
      <c r="D39" s="344"/>
      <c r="E39" s="115">
        <f>Kapılar!D42</f>
        <v>68</v>
      </c>
      <c r="F39" s="116">
        <f>Kapılar!E42</f>
        <v>5</v>
      </c>
      <c r="G39" s="116">
        <f>Kapılar!F42</f>
        <v>0</v>
      </c>
      <c r="H39" s="118">
        <f>Kapılar!D108</f>
        <v>0</v>
      </c>
      <c r="I39" s="119">
        <f>Kapılar!E108</f>
        <v>0</v>
      </c>
      <c r="J39" s="119">
        <f>Kapılar!F108</f>
        <v>15</v>
      </c>
      <c r="K39" s="115">
        <f>Kapılar!D290</f>
        <v>0</v>
      </c>
      <c r="L39" s="116">
        <f>Kapılar!E290</f>
        <v>0</v>
      </c>
      <c r="M39" s="115">
        <f>Kapılar!F290</f>
        <v>0</v>
      </c>
      <c r="N39" s="116">
        <f>Kapılar!D161</f>
        <v>0</v>
      </c>
      <c r="O39" s="118">
        <f>Kapılar!E161</f>
        <v>0</v>
      </c>
      <c r="P39" s="119">
        <f>Kapılar!F161</f>
        <v>0</v>
      </c>
      <c r="Q39" s="119">
        <f>Kapılar!D226</f>
        <v>0</v>
      </c>
      <c r="R39" s="119">
        <f>Kapılar!E226</f>
        <v>0</v>
      </c>
      <c r="S39" s="119">
        <f>Kapılar!F220</f>
        <v>0</v>
      </c>
      <c r="T39" s="119">
        <f>Kapılar!D352</f>
        <v>0</v>
      </c>
      <c r="U39" s="115">
        <f>Kapılar!E352</f>
        <v>0</v>
      </c>
      <c r="V39" s="116">
        <f>Kapılar!F352</f>
        <v>0</v>
      </c>
      <c r="W39" s="120">
        <f t="shared" si="0"/>
        <v>83</v>
      </c>
      <c r="X39" s="10"/>
      <c r="Y39" s="10"/>
      <c r="Z39" s="10"/>
    </row>
    <row r="40" spans="1:26" s="11" customFormat="1" ht="24" customHeight="1">
      <c r="A40" s="10"/>
      <c r="B40" s="10"/>
      <c r="C40" s="343" t="s">
        <v>43</v>
      </c>
      <c r="D40" s="344"/>
      <c r="E40" s="115">
        <f>Kapılar!D43</f>
        <v>2</v>
      </c>
      <c r="F40" s="116">
        <f>Kapılar!E43</f>
        <v>0</v>
      </c>
      <c r="G40" s="116">
        <f>Kapılar!F43</f>
        <v>0</v>
      </c>
      <c r="H40" s="118">
        <f>Kapılar!D109</f>
        <v>0</v>
      </c>
      <c r="I40" s="119">
        <f>Kapılar!E109</f>
        <v>0</v>
      </c>
      <c r="J40" s="119">
        <f>Kapılar!F109</f>
        <v>0</v>
      </c>
      <c r="K40" s="115">
        <f>Kapılar!D291</f>
        <v>0</v>
      </c>
      <c r="L40" s="116">
        <f>Kapılar!E291</f>
        <v>0</v>
      </c>
      <c r="M40" s="115">
        <f>Kapılar!F291</f>
        <v>0</v>
      </c>
      <c r="N40" s="116">
        <f>Kapılar!D162</f>
        <v>0</v>
      </c>
      <c r="O40" s="118">
        <f>Kapılar!E162</f>
        <v>0</v>
      </c>
      <c r="P40" s="119">
        <f>Kapılar!F162</f>
        <v>0</v>
      </c>
      <c r="Q40" s="119">
        <f>Kapılar!D227</f>
        <v>0</v>
      </c>
      <c r="R40" s="119">
        <f>Kapılar!E227</f>
        <v>0</v>
      </c>
      <c r="S40" s="119">
        <f>Kapılar!F221</f>
        <v>0</v>
      </c>
      <c r="T40" s="119">
        <f>Kapılar!D353</f>
        <v>0</v>
      </c>
      <c r="U40" s="115">
        <f>Kapılar!E353</f>
        <v>0</v>
      </c>
      <c r="V40" s="116">
        <f>Kapılar!F353</f>
        <v>0</v>
      </c>
      <c r="W40" s="120">
        <f t="shared" si="0"/>
        <v>2</v>
      </c>
      <c r="X40" s="10"/>
      <c r="Y40" s="10"/>
      <c r="Z40" s="10"/>
    </row>
    <row r="41" spans="1:26" s="11" customFormat="1" ht="24" customHeight="1">
      <c r="A41" s="10"/>
      <c r="B41" s="10"/>
      <c r="C41" s="343" t="s">
        <v>44</v>
      </c>
      <c r="D41" s="344"/>
      <c r="E41" s="115">
        <f>Kapılar!D45</f>
        <v>13</v>
      </c>
      <c r="F41" s="116">
        <f>Kapılar!E45</f>
        <v>1</v>
      </c>
      <c r="G41" s="116">
        <f>Kapılar!F46</f>
        <v>0</v>
      </c>
      <c r="H41" s="118">
        <f>Kapılar!D111</f>
        <v>0</v>
      </c>
      <c r="I41" s="119">
        <f>Kapılar!E111</f>
        <v>2</v>
      </c>
      <c r="J41" s="119">
        <f>Kapılar!F111</f>
        <v>2</v>
      </c>
      <c r="K41" s="115">
        <f>Kapılar!D293</f>
        <v>4</v>
      </c>
      <c r="L41" s="116">
        <f>Kapılar!E293</f>
        <v>4</v>
      </c>
      <c r="M41" s="115">
        <f>Kapılar!F293</f>
        <v>0</v>
      </c>
      <c r="N41" s="116">
        <f>Kapılar!D164</f>
        <v>0</v>
      </c>
      <c r="O41" s="118">
        <f>Kapılar!E164</f>
        <v>0</v>
      </c>
      <c r="P41" s="119">
        <f>Kapılar!F164</f>
        <v>0</v>
      </c>
      <c r="Q41" s="119">
        <f>Kapılar!D229</f>
        <v>0</v>
      </c>
      <c r="R41" s="119">
        <f>Kapılar!E229</f>
        <v>0</v>
      </c>
      <c r="S41" s="119">
        <f>Kapılar!F222</f>
        <v>0</v>
      </c>
      <c r="T41" s="119">
        <f>Kapılar!D355</f>
        <v>0</v>
      </c>
      <c r="U41" s="115">
        <f>Kapılar!E354</f>
        <v>0</v>
      </c>
      <c r="V41" s="116">
        <f>Kapılar!F354</f>
        <v>0</v>
      </c>
      <c r="W41" s="120">
        <f t="shared" si="0"/>
        <v>19</v>
      </c>
      <c r="X41" s="10"/>
      <c r="Y41" s="10"/>
      <c r="Z41" s="10"/>
    </row>
    <row r="42" spans="1:26" s="11" customFormat="1" ht="24" customHeight="1">
      <c r="A42" s="10"/>
      <c r="B42" s="10"/>
      <c r="C42" s="343" t="s">
        <v>45</v>
      </c>
      <c r="D42" s="344"/>
      <c r="E42" s="115">
        <f>Kapılar!D46</f>
        <v>7</v>
      </c>
      <c r="F42" s="116">
        <f>Kapılar!E46</f>
        <v>12</v>
      </c>
      <c r="G42" s="116">
        <f>Kapılar!F47</f>
        <v>0</v>
      </c>
      <c r="H42" s="118">
        <f>Kapılar!D112</f>
        <v>0</v>
      </c>
      <c r="I42" s="119">
        <f>Kapılar!E112</f>
        <v>0</v>
      </c>
      <c r="J42" s="119">
        <f>Kapılar!F112</f>
        <v>4</v>
      </c>
      <c r="K42" s="115">
        <f>Kapılar!D294</f>
        <v>0</v>
      </c>
      <c r="L42" s="116">
        <f>Kapılar!E294</f>
        <v>0</v>
      </c>
      <c r="M42" s="115">
        <f>Kapılar!F294</f>
        <v>0</v>
      </c>
      <c r="N42" s="116">
        <f>Kapılar!D165</f>
        <v>0</v>
      </c>
      <c r="O42" s="118">
        <f>Kapılar!E165</f>
        <v>0</v>
      </c>
      <c r="P42" s="119">
        <f>Kapılar!F166</f>
        <v>0</v>
      </c>
      <c r="Q42" s="119">
        <f>Kapılar!D230</f>
        <v>0</v>
      </c>
      <c r="R42" s="119">
        <f>Kapılar!E230</f>
        <v>0</v>
      </c>
      <c r="S42" s="119">
        <f>Kapılar!F223</f>
        <v>0</v>
      </c>
      <c r="T42" s="119">
        <f>Kapılar!D356</f>
        <v>0</v>
      </c>
      <c r="U42" s="115">
        <f>Kapılar!E356</f>
        <v>0</v>
      </c>
      <c r="V42" s="116">
        <f>Kapılar!F356</f>
        <v>0</v>
      </c>
      <c r="W42" s="120">
        <f t="shared" si="0"/>
        <v>11</v>
      </c>
      <c r="X42" s="10"/>
      <c r="Y42" s="10"/>
      <c r="Z42" s="10"/>
    </row>
    <row r="43" spans="1:26" s="11" customFormat="1" ht="24" customHeight="1">
      <c r="A43" s="10"/>
      <c r="B43" s="10"/>
      <c r="C43" s="114" t="s">
        <v>130</v>
      </c>
      <c r="D43" s="127"/>
      <c r="E43" s="115">
        <f>Kapılar!IH20</f>
        <v>0</v>
      </c>
      <c r="F43" s="116">
        <f>Kapılar!K20</f>
        <v>2</v>
      </c>
      <c r="G43" s="116">
        <f>Kapılar!L20</f>
        <v>0</v>
      </c>
      <c r="H43" s="118">
        <f>Kapılar!I86</f>
        <v>0</v>
      </c>
      <c r="I43" s="119">
        <f>Kapılar!K86</f>
        <v>0</v>
      </c>
      <c r="J43" s="119">
        <f>Kapılar!L86</f>
        <v>19</v>
      </c>
      <c r="K43" s="115">
        <f>Kapılar!J268</f>
        <v>0</v>
      </c>
      <c r="L43" s="116">
        <f>Kapılar!K268</f>
        <v>0</v>
      </c>
      <c r="M43" s="115">
        <f>Kapılar!L268</f>
        <v>0</v>
      </c>
      <c r="N43" s="116">
        <f>Kapılar!I139</f>
        <v>0</v>
      </c>
      <c r="O43" s="118">
        <f>Kapılar!K139</f>
        <v>0</v>
      </c>
      <c r="P43" s="119">
        <f>Kapılar!L139</f>
        <v>0</v>
      </c>
      <c r="Q43" s="119">
        <f>Kapılar!I204</f>
        <v>0</v>
      </c>
      <c r="R43" s="119">
        <f>Kapılar!E231</f>
        <v>0</v>
      </c>
      <c r="S43" s="119">
        <f>Kapılar!F224</f>
        <v>0</v>
      </c>
      <c r="T43" s="119">
        <f>Kapılar!J330</f>
        <v>0</v>
      </c>
      <c r="U43" s="115">
        <f>Kapılar!K330</f>
        <v>0</v>
      </c>
      <c r="V43" s="116">
        <f>Kapılar!L330</f>
        <v>0</v>
      </c>
      <c r="W43" s="120">
        <f t="shared" si="0"/>
        <v>19</v>
      </c>
      <c r="X43" s="10"/>
      <c r="Y43" s="10"/>
      <c r="Z43" s="10"/>
    </row>
    <row r="44" spans="1:26" s="11" customFormat="1" ht="24" customHeight="1">
      <c r="A44" s="10"/>
      <c r="B44" s="10"/>
      <c r="C44" s="343" t="s">
        <v>47</v>
      </c>
      <c r="D44" s="344"/>
      <c r="E44" s="115">
        <f>Kapılar!IH13</f>
        <v>0</v>
      </c>
      <c r="F44" s="116">
        <f>Kapılar!K13</f>
        <v>7</v>
      </c>
      <c r="G44" s="116">
        <f>Kapılar!L13</f>
        <v>0</v>
      </c>
      <c r="H44" s="118">
        <f>Kapılar!I79</f>
        <v>0</v>
      </c>
      <c r="I44" s="119">
        <f>Kapılar!K79</f>
        <v>1</v>
      </c>
      <c r="J44" s="119">
        <f>Kapılar!L79</f>
        <v>0</v>
      </c>
      <c r="K44" s="115">
        <f>Kapılar!J261</f>
        <v>4</v>
      </c>
      <c r="L44" s="116">
        <f>Kapılar!K261</f>
        <v>10</v>
      </c>
      <c r="M44" s="115">
        <f>Kapılar!L261</f>
        <v>0</v>
      </c>
      <c r="N44" s="116">
        <f>Kapılar!I132</f>
        <v>0</v>
      </c>
      <c r="O44" s="118">
        <f>Kapılar!K132</f>
        <v>24</v>
      </c>
      <c r="P44" s="119">
        <f>Kapılar!L132</f>
        <v>0</v>
      </c>
      <c r="Q44" s="119">
        <f>Kapılar!I197</f>
        <v>0</v>
      </c>
      <c r="R44" s="119">
        <f>Kapılar!E232</f>
        <v>0</v>
      </c>
      <c r="S44" s="119">
        <f>Kapılar!F225</f>
        <v>0</v>
      </c>
      <c r="T44" s="119">
        <f>Kapılar!J323</f>
        <v>0</v>
      </c>
      <c r="U44" s="115">
        <f>Kapılar!K323</f>
        <v>0</v>
      </c>
      <c r="V44" s="116">
        <f>Kapılar!L323</f>
        <v>0</v>
      </c>
      <c r="W44" s="120">
        <f t="shared" si="0"/>
        <v>4</v>
      </c>
      <c r="X44" s="10"/>
      <c r="Y44" s="10"/>
      <c r="Z44" s="10"/>
    </row>
    <row r="45" spans="1:26" s="11" customFormat="1" ht="24" customHeight="1">
      <c r="A45" s="10"/>
      <c r="B45" s="10"/>
      <c r="C45" s="343" t="s">
        <v>48</v>
      </c>
      <c r="D45" s="344"/>
      <c r="E45" s="115">
        <f>Kapılar!IH14</f>
        <v>0</v>
      </c>
      <c r="F45" s="116">
        <f>Kapılar!K14</f>
        <v>802</v>
      </c>
      <c r="G45" s="116">
        <f>Kapılar!L14</f>
        <v>0</v>
      </c>
      <c r="H45" s="118">
        <f>Kapılar!I80</f>
        <v>0</v>
      </c>
      <c r="I45" s="119">
        <f>Kapılar!K80</f>
        <v>0</v>
      </c>
      <c r="J45" s="119">
        <f>Kapılar!L80</f>
        <v>0</v>
      </c>
      <c r="K45" s="115">
        <f>Kapılar!J262</f>
        <v>0</v>
      </c>
      <c r="L45" s="116">
        <f>Kapılar!K262</f>
        <v>0</v>
      </c>
      <c r="M45" s="115">
        <f>Kapılar!L262</f>
        <v>0</v>
      </c>
      <c r="N45" s="116">
        <f>Kapılar!I133</f>
        <v>0</v>
      </c>
      <c r="O45" s="118">
        <f>Kapılar!K133</f>
        <v>2</v>
      </c>
      <c r="P45" s="119">
        <f>Kapılar!L133</f>
        <v>0</v>
      </c>
      <c r="Q45" s="119">
        <f>Kapılar!I198</f>
        <v>0</v>
      </c>
      <c r="R45" s="119">
        <f>Kapılar!E233</f>
        <v>0</v>
      </c>
      <c r="S45" s="119">
        <f>Kapılar!F226</f>
        <v>0</v>
      </c>
      <c r="T45" s="119">
        <f>Kapılar!J324</f>
        <v>0</v>
      </c>
      <c r="U45" s="115">
        <f>Kapılar!K324</f>
        <v>0</v>
      </c>
      <c r="V45" s="116">
        <f>Kapılar!L324</f>
        <v>0</v>
      </c>
      <c r="W45" s="120">
        <f t="shared" si="0"/>
        <v>0</v>
      </c>
      <c r="X45" s="10"/>
      <c r="Y45" s="10"/>
      <c r="Z45" s="10"/>
    </row>
    <row r="46" spans="1:26" s="11" customFormat="1" ht="24" customHeight="1">
      <c r="A46" s="10"/>
      <c r="B46" s="10"/>
      <c r="C46" s="343" t="s">
        <v>49</v>
      </c>
      <c r="D46" s="344"/>
      <c r="E46" s="115">
        <f>Kapılar!IH15</f>
        <v>0</v>
      </c>
      <c r="F46" s="116">
        <f>Kapılar!K15</f>
        <v>5</v>
      </c>
      <c r="G46" s="116">
        <f>Kapılar!L15</f>
        <v>0</v>
      </c>
      <c r="H46" s="118">
        <f>Kapılar!I81</f>
        <v>0</v>
      </c>
      <c r="I46" s="119">
        <f>Kapılar!K81</f>
        <v>0</v>
      </c>
      <c r="J46" s="119">
        <f>Kapılar!L81</f>
        <v>9</v>
      </c>
      <c r="K46" s="115">
        <f>Kapılar!J263</f>
        <v>0</v>
      </c>
      <c r="L46" s="116">
        <f>Kapılar!K263</f>
        <v>0</v>
      </c>
      <c r="M46" s="115">
        <f>Kapılar!L263</f>
        <v>0</v>
      </c>
      <c r="N46" s="116">
        <f>Kapılar!I134</f>
        <v>0</v>
      </c>
      <c r="O46" s="118">
        <f>Kapılar!K134</f>
        <v>1</v>
      </c>
      <c r="P46" s="119">
        <f>Kapılar!L134</f>
        <v>0</v>
      </c>
      <c r="Q46" s="119">
        <f>Kapılar!I199</f>
        <v>0</v>
      </c>
      <c r="R46" s="119">
        <f>Kapılar!E234</f>
        <v>0</v>
      </c>
      <c r="S46" s="119">
        <f>Kapılar!F227</f>
        <v>0</v>
      </c>
      <c r="T46" s="119">
        <f>Kapılar!J325</f>
        <v>0</v>
      </c>
      <c r="U46" s="115">
        <f>Kapılar!K325</f>
        <v>0</v>
      </c>
      <c r="V46" s="116">
        <f>Kapılar!L325</f>
        <v>0</v>
      </c>
      <c r="W46" s="120">
        <f t="shared" si="0"/>
        <v>9</v>
      </c>
      <c r="X46" s="10"/>
      <c r="Y46" s="10"/>
      <c r="Z46" s="10"/>
    </row>
    <row r="47" spans="1:26" s="11" customFormat="1" ht="24" customHeight="1">
      <c r="A47" s="10"/>
      <c r="B47" s="10"/>
      <c r="C47" s="343" t="s">
        <v>50</v>
      </c>
      <c r="D47" s="344"/>
      <c r="E47" s="115">
        <f>Kapılar!IH21</f>
        <v>0</v>
      </c>
      <c r="F47" s="116">
        <f>Kapılar!K21</f>
        <v>7</v>
      </c>
      <c r="G47" s="116">
        <f>Kapılar!L21</f>
        <v>0</v>
      </c>
      <c r="H47" s="118">
        <f>Kapılar!I87</f>
        <v>0</v>
      </c>
      <c r="I47" s="119">
        <f>Kapılar!K87</f>
        <v>11</v>
      </c>
      <c r="J47" s="119">
        <f>Kapılar!L87</f>
        <v>3</v>
      </c>
      <c r="K47" s="115">
        <f>Kapılar!J269</f>
        <v>41</v>
      </c>
      <c r="L47" s="116">
        <f>Kapılar!K269</f>
        <v>42</v>
      </c>
      <c r="M47" s="115">
        <f>Kapılar!L269</f>
        <v>0</v>
      </c>
      <c r="N47" s="116">
        <f>Kapılar!I140</f>
        <v>0</v>
      </c>
      <c r="O47" s="118">
        <f>Kapılar!K140</f>
        <v>0</v>
      </c>
      <c r="P47" s="119">
        <f>Kapılar!L140</f>
        <v>0</v>
      </c>
      <c r="Q47" s="119">
        <f>Kapılar!I205</f>
        <v>0</v>
      </c>
      <c r="R47" s="119">
        <f>Kapılar!E235</f>
        <v>0</v>
      </c>
      <c r="S47" s="119">
        <f>Kapılar!F228</f>
        <v>0</v>
      </c>
      <c r="T47" s="119">
        <f>Kapılar!J331</f>
        <v>0</v>
      </c>
      <c r="U47" s="115">
        <f>Kapılar!K331</f>
        <v>0</v>
      </c>
      <c r="V47" s="116">
        <f>Kapılar!L331</f>
        <v>0</v>
      </c>
      <c r="W47" s="120">
        <f t="shared" si="0"/>
        <v>44</v>
      </c>
      <c r="X47" s="10"/>
      <c r="Y47" s="10"/>
      <c r="Z47" s="10"/>
    </row>
    <row r="48" spans="1:26" s="11" customFormat="1" ht="24" customHeight="1">
      <c r="A48" s="10"/>
      <c r="B48" s="10"/>
      <c r="C48" s="343" t="s">
        <v>51</v>
      </c>
      <c r="D48" s="344"/>
      <c r="E48" s="115">
        <f>Kapılar!IH23</f>
        <v>0</v>
      </c>
      <c r="F48" s="116">
        <f>Kapılar!K23</f>
        <v>24</v>
      </c>
      <c r="G48" s="116">
        <f>Kapılar!L23</f>
        <v>0</v>
      </c>
      <c r="H48" s="118">
        <f>Kapılar!I89</f>
        <v>0</v>
      </c>
      <c r="I48" s="119">
        <f>Kapılar!K89</f>
        <v>0</v>
      </c>
      <c r="J48" s="119">
        <f>Kapılar!L89</f>
        <v>0</v>
      </c>
      <c r="K48" s="115">
        <f>Kapılar!J271</f>
        <v>0</v>
      </c>
      <c r="L48" s="116">
        <f>Kapılar!K271</f>
        <v>0</v>
      </c>
      <c r="M48" s="115">
        <f>Kapılar!L271</f>
        <v>0</v>
      </c>
      <c r="N48" s="116">
        <f>Kapılar!I142</f>
        <v>0</v>
      </c>
      <c r="O48" s="118">
        <f>Kapılar!K142</f>
        <v>1</v>
      </c>
      <c r="P48" s="119">
        <f>Kapılar!L142</f>
        <v>0</v>
      </c>
      <c r="Q48" s="119">
        <f>Kapılar!I207</f>
        <v>0</v>
      </c>
      <c r="R48" s="119">
        <f>Kapılar!E236</f>
        <v>0</v>
      </c>
      <c r="S48" s="119">
        <f>Kapılar!F229</f>
        <v>0</v>
      </c>
      <c r="T48" s="119">
        <f>Kapılar!J333</f>
        <v>0</v>
      </c>
      <c r="U48" s="115">
        <f>Kapılar!K333</f>
        <v>0</v>
      </c>
      <c r="V48" s="116">
        <f>Kapılar!L333</f>
        <v>0</v>
      </c>
      <c r="W48" s="120">
        <f t="shared" si="0"/>
        <v>0</v>
      </c>
      <c r="X48" s="10"/>
      <c r="Y48" s="10"/>
      <c r="Z48" s="10"/>
    </row>
    <row r="49" spans="1:26" s="11" customFormat="1" ht="24" customHeight="1">
      <c r="A49" s="10"/>
      <c r="B49" s="10"/>
      <c r="C49" s="343" t="s">
        <v>52</v>
      </c>
      <c r="D49" s="344"/>
      <c r="E49" s="115">
        <f>Kapılar!I24</f>
        <v>0</v>
      </c>
      <c r="F49" s="116" t="str">
        <f>Kapılar!K24</f>
        <v> </v>
      </c>
      <c r="G49" s="116">
        <f>Kapılar!L24</f>
        <v>0</v>
      </c>
      <c r="H49" s="118">
        <f>Kapılar!I90</f>
        <v>0</v>
      </c>
      <c r="I49" s="119">
        <f>Kapılar!K90</f>
        <v>0</v>
      </c>
      <c r="J49" s="119">
        <f>Kapılar!L90</f>
        <v>9</v>
      </c>
      <c r="K49" s="115">
        <f>Kapılar!J272</f>
        <v>0</v>
      </c>
      <c r="L49" s="116">
        <f>Kapılar!K272</f>
        <v>0</v>
      </c>
      <c r="M49" s="115">
        <f>Kapılar!L272</f>
        <v>0</v>
      </c>
      <c r="N49" s="116">
        <f>Kapılar!I143</f>
        <v>0</v>
      </c>
      <c r="O49" s="118">
        <f>Kapılar!K143</f>
        <v>127</v>
      </c>
      <c r="P49" s="119">
        <f>Kapılar!L143</f>
        <v>0</v>
      </c>
      <c r="Q49" s="119">
        <f>Kapılar!I208</f>
        <v>0</v>
      </c>
      <c r="R49" s="119">
        <f>Kapılar!E237</f>
        <v>0</v>
      </c>
      <c r="S49" s="119">
        <f>Kapılar!F230</f>
        <v>0</v>
      </c>
      <c r="T49" s="119">
        <f>Kapılar!J334</f>
        <v>0</v>
      </c>
      <c r="U49" s="115">
        <f>Kapılar!K334</f>
        <v>0</v>
      </c>
      <c r="V49" s="116">
        <f>Kapılar!L334</f>
        <v>0</v>
      </c>
      <c r="W49" s="120">
        <f t="shared" si="0"/>
        <v>9</v>
      </c>
      <c r="X49" s="10"/>
      <c r="Y49" s="10"/>
      <c r="Z49" s="10"/>
    </row>
    <row r="50" spans="1:26" s="11" customFormat="1" ht="24" customHeight="1">
      <c r="A50" s="10"/>
      <c r="B50" s="10"/>
      <c r="C50" s="343" t="s">
        <v>53</v>
      </c>
      <c r="D50" s="344"/>
      <c r="E50" s="115">
        <f>Kapılar!I26</f>
        <v>0</v>
      </c>
      <c r="F50" s="116">
        <f>Kapılar!K26</f>
        <v>2</v>
      </c>
      <c r="G50" s="116">
        <f>Kapılar!L26</f>
        <v>0</v>
      </c>
      <c r="H50" s="118">
        <f>Kapılar!I92</f>
        <v>0</v>
      </c>
      <c r="I50" s="119">
        <f>Kapılar!K92</f>
        <v>0</v>
      </c>
      <c r="J50" s="119">
        <f>Kapılar!L92</f>
        <v>0</v>
      </c>
      <c r="K50" s="115">
        <f>Kapılar!J274</f>
        <v>0</v>
      </c>
      <c r="L50" s="116">
        <f>Kapılar!K274</f>
        <v>0</v>
      </c>
      <c r="M50" s="115">
        <f>Kapılar!L274</f>
        <v>0</v>
      </c>
      <c r="N50" s="116">
        <f>Kapılar!I145</f>
        <v>0</v>
      </c>
      <c r="O50" s="118">
        <f>Kapılar!K145</f>
        <v>0</v>
      </c>
      <c r="P50" s="119">
        <f>Kapılar!L145</f>
        <v>0</v>
      </c>
      <c r="Q50" s="119">
        <f>Kapılar!I210</f>
        <v>0</v>
      </c>
      <c r="R50" s="119">
        <f>Kapılar!E249</f>
        <v>0</v>
      </c>
      <c r="S50" s="119">
        <f>Kapılar!F231</f>
        <v>0</v>
      </c>
      <c r="T50" s="119">
        <f>Kapılar!J336</f>
        <v>0</v>
      </c>
      <c r="U50" s="115">
        <f>Kapılar!K336</f>
        <v>0</v>
      </c>
      <c r="V50" s="116">
        <f>Kapılar!L336</f>
        <v>0</v>
      </c>
      <c r="W50" s="120">
        <f t="shared" si="0"/>
        <v>0</v>
      </c>
      <c r="X50" s="10"/>
      <c r="Y50" s="10"/>
      <c r="Z50" s="10"/>
    </row>
    <row r="51" spans="1:26" s="11" customFormat="1" ht="24" customHeight="1">
      <c r="A51" s="10"/>
      <c r="B51" s="10"/>
      <c r="C51" s="343" t="s">
        <v>54</v>
      </c>
      <c r="D51" s="344"/>
      <c r="E51" s="128">
        <f>E52-(SUM(E9:E50))</f>
        <v>1511</v>
      </c>
      <c r="F51" s="128">
        <f aca="true" t="shared" si="1" ref="F51:V51">F52-(SUM(F9:F50))</f>
        <v>357</v>
      </c>
      <c r="G51" s="128">
        <f t="shared" si="1"/>
        <v>0</v>
      </c>
      <c r="H51" s="128">
        <f t="shared" si="1"/>
        <v>53</v>
      </c>
      <c r="I51" s="128">
        <f>I52-(SUM(I9:I50))</f>
        <v>41</v>
      </c>
      <c r="J51" s="128">
        <f t="shared" si="1"/>
        <v>549</v>
      </c>
      <c r="K51" s="128">
        <f t="shared" si="1"/>
        <v>89</v>
      </c>
      <c r="L51" s="128">
        <f t="shared" si="1"/>
        <v>65</v>
      </c>
      <c r="M51" s="128">
        <f t="shared" si="1"/>
        <v>0</v>
      </c>
      <c r="N51" s="128">
        <f t="shared" si="1"/>
        <v>295</v>
      </c>
      <c r="O51" s="128">
        <f t="shared" si="1"/>
        <v>29</v>
      </c>
      <c r="P51" s="128">
        <f t="shared" si="1"/>
        <v>0</v>
      </c>
      <c r="Q51" s="128">
        <f t="shared" si="1"/>
        <v>0</v>
      </c>
      <c r="R51" s="128">
        <f t="shared" si="1"/>
        <v>0</v>
      </c>
      <c r="S51" s="128">
        <f t="shared" si="1"/>
        <v>4</v>
      </c>
      <c r="T51" s="128">
        <f t="shared" si="1"/>
        <v>0</v>
      </c>
      <c r="U51" s="128">
        <f t="shared" si="1"/>
        <v>0</v>
      </c>
      <c r="V51" s="128">
        <f t="shared" si="1"/>
        <v>0</v>
      </c>
      <c r="W51" s="120">
        <f>SUM(E51+G51+H51+J51+K51+M51+N51+P51+Q51+S51+T51+V51)</f>
        <v>2501</v>
      </c>
      <c r="X51" s="10"/>
      <c r="Y51" s="10"/>
      <c r="Z51" s="10"/>
    </row>
    <row r="52" spans="1:26" s="11" customFormat="1" ht="24" customHeight="1">
      <c r="A52" s="10"/>
      <c r="B52" s="10"/>
      <c r="C52" s="125" t="s">
        <v>55</v>
      </c>
      <c r="D52" s="126"/>
      <c r="E52" s="128">
        <f>Kapılar!J43</f>
        <v>20658</v>
      </c>
      <c r="F52" s="116">
        <f>Kapılar!K43</f>
        <v>25816</v>
      </c>
      <c r="G52" s="116">
        <f>Kapılar!L43</f>
        <v>0</v>
      </c>
      <c r="H52" s="118">
        <f>Kapılar!J109</f>
        <v>84</v>
      </c>
      <c r="I52" s="119">
        <f>Kapılar!K109</f>
        <v>80</v>
      </c>
      <c r="J52" s="119">
        <f>Kapılar!L109</f>
        <v>17882</v>
      </c>
      <c r="K52" s="115">
        <f>Kapılar!J291</f>
        <v>194</v>
      </c>
      <c r="L52" s="116">
        <f>Kapılar!K291</f>
        <v>146</v>
      </c>
      <c r="M52" s="115">
        <f>Kapılar!L291</f>
        <v>0</v>
      </c>
      <c r="N52" s="116">
        <f>Kapılar!J162</f>
        <v>1250</v>
      </c>
      <c r="O52" s="118">
        <f>Kapılar!K162</f>
        <v>1140</v>
      </c>
      <c r="P52" s="119">
        <f>Kapılar!L162</f>
        <v>0</v>
      </c>
      <c r="Q52" s="119">
        <f>Kapılar!J227</f>
        <v>0</v>
      </c>
      <c r="R52" s="119">
        <f>Kapılar!K227</f>
        <v>0</v>
      </c>
      <c r="S52" s="119">
        <f>Kapılar!L227</f>
        <v>2149</v>
      </c>
      <c r="T52" s="119">
        <f>Kapılar!J353</f>
        <v>0</v>
      </c>
      <c r="U52" s="119">
        <f>Kapılar!K353</f>
        <v>0</v>
      </c>
      <c r="V52" s="119">
        <f>Kapılar!L353</f>
        <v>0</v>
      </c>
      <c r="W52" s="120">
        <f>SUM(E52+G52+H52+J52+K52+M52+N52+P52+Q52+S52+T52+V52)</f>
        <v>42217</v>
      </c>
      <c r="X52" s="10"/>
      <c r="Y52" s="10"/>
      <c r="Z52" s="10"/>
    </row>
    <row r="53" spans="1:26" s="11" customFormat="1" ht="23.25" customHeight="1">
      <c r="A53" s="10"/>
      <c r="B53" s="10"/>
      <c r="C53" s="343" t="s">
        <v>56</v>
      </c>
      <c r="D53" s="344"/>
      <c r="E53" s="115">
        <f>Kapılar!J44</f>
        <v>26950</v>
      </c>
      <c r="F53" s="116">
        <f>Kapılar!K44</f>
        <v>36109</v>
      </c>
      <c r="G53" s="116">
        <f>Kapılar!L44</f>
        <v>0</v>
      </c>
      <c r="H53" s="118">
        <f>Kapılar!J110</f>
        <v>598</v>
      </c>
      <c r="I53" s="119">
        <f>Kapılar!K110</f>
        <v>799</v>
      </c>
      <c r="J53" s="119">
        <f>Kapılar!L110</f>
        <v>12</v>
      </c>
      <c r="K53" s="115">
        <f>Kapılar!J292</f>
        <v>962</v>
      </c>
      <c r="L53" s="116">
        <f>Kapılar!K292</f>
        <v>851</v>
      </c>
      <c r="M53" s="115">
        <f>Kapılar!L292</f>
        <v>0</v>
      </c>
      <c r="N53" s="116">
        <f>Kapılar!J163</f>
        <v>685</v>
      </c>
      <c r="O53" s="118">
        <f>Kapılar!K163</f>
        <v>625</v>
      </c>
      <c r="P53" s="119">
        <f>Kapılar!L163</f>
        <v>0</v>
      </c>
      <c r="Q53" s="119">
        <f>Kapılar!J228</f>
        <v>0</v>
      </c>
      <c r="R53" s="119">
        <f>Kapılar!K228</f>
        <v>0</v>
      </c>
      <c r="S53" s="119">
        <f>Kapılar!L228</f>
        <v>73</v>
      </c>
      <c r="T53" s="119">
        <f>Kapılar!J354</f>
        <v>0</v>
      </c>
      <c r="U53" s="119">
        <f>Kapılar!K354</f>
        <v>0</v>
      </c>
      <c r="V53" s="119">
        <f>Kapılar!L354</f>
        <v>0</v>
      </c>
      <c r="W53" s="120">
        <f>SUM(E53+G53+H53+J53+K53+M53+N53+P53+Q53+S53+T53+V53)</f>
        <v>29280</v>
      </c>
      <c r="X53" s="10"/>
      <c r="Y53" s="10"/>
      <c r="Z53" s="10"/>
    </row>
    <row r="54" spans="3:23" ht="25.5" customHeight="1" thickBot="1">
      <c r="C54" s="129" t="s">
        <v>57</v>
      </c>
      <c r="D54" s="130"/>
      <c r="E54" s="131">
        <f>SUM(E52:E53)</f>
        <v>47608</v>
      </c>
      <c r="F54" s="123">
        <f aca="true" t="shared" si="2" ref="F54:V54">SUM(F52:F53)</f>
        <v>61925</v>
      </c>
      <c r="G54" s="123">
        <f t="shared" si="2"/>
        <v>0</v>
      </c>
      <c r="H54" s="132">
        <f t="shared" si="2"/>
        <v>682</v>
      </c>
      <c r="I54" s="133">
        <f>SUM(I52:I53)</f>
        <v>879</v>
      </c>
      <c r="J54" s="133">
        <f t="shared" si="2"/>
        <v>17894</v>
      </c>
      <c r="K54" s="131">
        <f>SUM(K52:K53)</f>
        <v>1156</v>
      </c>
      <c r="L54" s="123">
        <f>SUM(L52:L53)</f>
        <v>997</v>
      </c>
      <c r="M54" s="131">
        <f>SUM(M52:M53)</f>
        <v>0</v>
      </c>
      <c r="N54" s="123">
        <f t="shared" si="2"/>
        <v>1935</v>
      </c>
      <c r="O54" s="132">
        <f t="shared" si="2"/>
        <v>1765</v>
      </c>
      <c r="P54" s="133">
        <f t="shared" si="2"/>
        <v>0</v>
      </c>
      <c r="Q54" s="133">
        <f t="shared" si="2"/>
        <v>0</v>
      </c>
      <c r="R54" s="133">
        <f t="shared" si="2"/>
        <v>0</v>
      </c>
      <c r="S54" s="133">
        <f t="shared" si="2"/>
        <v>2222</v>
      </c>
      <c r="T54" s="133">
        <f t="shared" si="2"/>
        <v>0</v>
      </c>
      <c r="U54" s="131">
        <f t="shared" si="2"/>
        <v>0</v>
      </c>
      <c r="V54" s="123">
        <f t="shared" si="2"/>
        <v>0</v>
      </c>
      <c r="W54" s="134">
        <f>SUM(W52:W53)</f>
        <v>71497</v>
      </c>
    </row>
    <row r="55" spans="3:23" ht="23.25" customHeight="1" thickBot="1">
      <c r="C55" s="345" t="s">
        <v>96</v>
      </c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7"/>
    </row>
    <row r="57" ht="12.75">
      <c r="I57" s="14"/>
    </row>
    <row r="58" ht="12.75">
      <c r="I58" s="14"/>
    </row>
    <row r="59" ht="12.75">
      <c r="J59" s="14"/>
    </row>
  </sheetData>
  <sheetProtection/>
  <mergeCells count="57">
    <mergeCell ref="C9:D9"/>
    <mergeCell ref="H6:J6"/>
    <mergeCell ref="N6:P6"/>
    <mergeCell ref="C10:D10"/>
    <mergeCell ref="N7:P7"/>
    <mergeCell ref="C8:D8"/>
    <mergeCell ref="C6:D7"/>
    <mergeCell ref="Q7:S7"/>
    <mergeCell ref="T7:V7"/>
    <mergeCell ref="E6:G6"/>
    <mergeCell ref="Q6:S6"/>
    <mergeCell ref="K6:M6"/>
    <mergeCell ref="K7:M7"/>
    <mergeCell ref="C11:D11"/>
    <mergeCell ref="C12:D12"/>
    <mergeCell ref="C13:D13"/>
    <mergeCell ref="C14:D14"/>
    <mergeCell ref="C55:W55"/>
    <mergeCell ref="C4:W5"/>
    <mergeCell ref="W6:W7"/>
    <mergeCell ref="T6:V6"/>
    <mergeCell ref="E7:G7"/>
    <mergeCell ref="H7:J7"/>
    <mergeCell ref="C19:D19"/>
    <mergeCell ref="C20:D20"/>
    <mergeCell ref="C21:D21"/>
    <mergeCell ref="C22:D22"/>
    <mergeCell ref="C15:D15"/>
    <mergeCell ref="C16:D16"/>
    <mergeCell ref="C17:D17"/>
    <mergeCell ref="C18:D18"/>
    <mergeCell ref="C27:D27"/>
    <mergeCell ref="C28:D28"/>
    <mergeCell ref="C29:D29"/>
    <mergeCell ref="C31:D31"/>
    <mergeCell ref="C23:D23"/>
    <mergeCell ref="C24:D24"/>
    <mergeCell ref="C25:D25"/>
    <mergeCell ref="C26:D26"/>
    <mergeCell ref="C38:D38"/>
    <mergeCell ref="C40:D40"/>
    <mergeCell ref="C41:D41"/>
    <mergeCell ref="C42:D42"/>
    <mergeCell ref="C39:D39"/>
    <mergeCell ref="C33:D33"/>
    <mergeCell ref="C34:D34"/>
    <mergeCell ref="C35:D35"/>
    <mergeCell ref="C37:D37"/>
    <mergeCell ref="C53:D53"/>
    <mergeCell ref="C47:D47"/>
    <mergeCell ref="C48:D48"/>
    <mergeCell ref="C49:D49"/>
    <mergeCell ref="C50:D50"/>
    <mergeCell ref="C44:D44"/>
    <mergeCell ref="C45:D45"/>
    <mergeCell ref="C46:D46"/>
    <mergeCell ref="C51:D5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9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146" customWidth="1"/>
    <col min="2" max="2" width="21.7109375" style="146" customWidth="1"/>
    <col min="3" max="3" width="14.140625" style="146" customWidth="1"/>
    <col min="4" max="4" width="12.7109375" style="146" customWidth="1"/>
    <col min="5" max="5" width="14.140625" style="146" customWidth="1"/>
    <col min="6" max="6" width="13.00390625" style="146" customWidth="1"/>
    <col min="7" max="7" width="12.7109375" style="146" customWidth="1"/>
    <col min="8" max="8" width="14.00390625" style="146" customWidth="1"/>
    <col min="9" max="9" width="12.28125" style="146" customWidth="1"/>
    <col min="10" max="10" width="16.140625" style="146" customWidth="1"/>
    <col min="11" max="11" width="2.8515625" style="146" customWidth="1"/>
    <col min="12" max="12" width="19.140625" style="146" customWidth="1"/>
    <col min="13" max="13" width="16.421875" style="146" customWidth="1"/>
    <col min="14" max="14" width="14.8515625" style="146" customWidth="1"/>
    <col min="15" max="15" width="12.140625" style="146" customWidth="1"/>
    <col min="16" max="16" width="11.421875" style="146" customWidth="1"/>
    <col min="17" max="17" width="12.57421875" style="146" customWidth="1"/>
    <col min="18" max="18" width="13.28125" style="146" customWidth="1"/>
    <col min="19" max="19" width="9.140625" style="146" customWidth="1"/>
    <col min="20" max="20" width="20.421875" style="146" customWidth="1"/>
    <col min="21" max="16384" width="9.140625" style="146" customWidth="1"/>
  </cols>
  <sheetData>
    <row r="1" ht="18.75" thickBot="1"/>
    <row r="2" spans="2:20" ht="12.75" customHeight="1">
      <c r="B2" s="374" t="s">
        <v>299</v>
      </c>
      <c r="C2" s="375"/>
      <c r="D2" s="375"/>
      <c r="E2" s="375"/>
      <c r="F2" s="375"/>
      <c r="G2" s="375"/>
      <c r="H2" s="375"/>
      <c r="I2" s="375"/>
      <c r="J2" s="376"/>
      <c r="L2" s="363"/>
      <c r="M2" s="363"/>
      <c r="N2" s="363"/>
      <c r="O2" s="363"/>
      <c r="P2" s="363"/>
      <c r="Q2" s="363"/>
      <c r="R2" s="363"/>
      <c r="S2" s="363"/>
      <c r="T2" s="363"/>
    </row>
    <row r="3" spans="2:20" ht="12.75" customHeight="1">
      <c r="B3" s="367"/>
      <c r="C3" s="366"/>
      <c r="D3" s="366"/>
      <c r="E3" s="366"/>
      <c r="F3" s="366"/>
      <c r="G3" s="366"/>
      <c r="H3" s="366"/>
      <c r="I3" s="366"/>
      <c r="J3" s="368"/>
      <c r="L3" s="363"/>
      <c r="M3" s="363"/>
      <c r="N3" s="363"/>
      <c r="O3" s="363"/>
      <c r="P3" s="363"/>
      <c r="Q3" s="363"/>
      <c r="R3" s="363"/>
      <c r="S3" s="363"/>
      <c r="T3" s="363"/>
    </row>
    <row r="4" spans="2:20" ht="24.75" customHeight="1" thickBot="1">
      <c r="B4" s="369"/>
      <c r="C4" s="370"/>
      <c r="D4" s="370"/>
      <c r="E4" s="370"/>
      <c r="F4" s="370"/>
      <c r="G4" s="370"/>
      <c r="H4" s="370"/>
      <c r="I4" s="370"/>
      <c r="J4" s="371"/>
      <c r="L4" s="363"/>
      <c r="M4" s="363"/>
      <c r="N4" s="363"/>
      <c r="O4" s="363"/>
      <c r="P4" s="363"/>
      <c r="Q4" s="363"/>
      <c r="R4" s="363"/>
      <c r="S4" s="363"/>
      <c r="T4" s="363"/>
    </row>
    <row r="5" spans="2:20" ht="24.75" customHeight="1">
      <c r="B5" s="374" t="s">
        <v>300</v>
      </c>
      <c r="C5" s="375"/>
      <c r="D5" s="375"/>
      <c r="E5" s="375"/>
      <c r="F5" s="375"/>
      <c r="G5" s="375"/>
      <c r="H5" s="375"/>
      <c r="I5" s="375"/>
      <c r="J5" s="376"/>
      <c r="L5" s="362"/>
      <c r="M5" s="362"/>
      <c r="N5" s="362"/>
      <c r="O5" s="362"/>
      <c r="P5" s="362"/>
      <c r="Q5" s="362"/>
      <c r="R5" s="362"/>
      <c r="S5" s="362"/>
      <c r="T5" s="362"/>
    </row>
    <row r="6" spans="2:20" ht="24.75" customHeight="1" thickBot="1">
      <c r="B6" s="150"/>
      <c r="C6" s="151">
        <v>2006</v>
      </c>
      <c r="D6" s="151">
        <v>2007</v>
      </c>
      <c r="E6" s="149" t="s">
        <v>103</v>
      </c>
      <c r="F6" s="151">
        <v>2008</v>
      </c>
      <c r="G6" s="149" t="s">
        <v>103</v>
      </c>
      <c r="H6" s="165">
        <v>2009</v>
      </c>
      <c r="I6" s="149" t="s">
        <v>103</v>
      </c>
      <c r="J6" s="152"/>
      <c r="L6" s="9"/>
      <c r="M6" s="2"/>
      <c r="N6" s="2"/>
      <c r="O6" s="8"/>
      <c r="P6" s="2"/>
      <c r="Q6" s="8"/>
      <c r="R6" s="2"/>
      <c r="S6" s="8"/>
      <c r="T6" s="2"/>
    </row>
    <row r="7" spans="2:20" ht="24.75" customHeight="1">
      <c r="B7" s="153" t="s">
        <v>124</v>
      </c>
      <c r="C7" s="156">
        <v>15652</v>
      </c>
      <c r="D7" s="156">
        <v>13813</v>
      </c>
      <c r="E7" s="155">
        <f>(D7-C7)*100/C7</f>
        <v>-11.749297214413494</v>
      </c>
      <c r="F7" s="143">
        <v>15444</v>
      </c>
      <c r="G7" s="155">
        <f>(F7-D7)*100/D7</f>
        <v>11.807717367697096</v>
      </c>
      <c r="H7" s="156">
        <f>'Giriş İstatistikleri'!E52</f>
        <v>20658</v>
      </c>
      <c r="I7" s="155">
        <f>(H7-F7)*100/F7</f>
        <v>33.76068376068376</v>
      </c>
      <c r="J7" s="152"/>
      <c r="L7" s="163"/>
      <c r="M7" s="2"/>
      <c r="N7" s="2"/>
      <c r="O7" s="3"/>
      <c r="P7" s="12"/>
      <c r="Q7" s="3"/>
      <c r="R7" s="19"/>
      <c r="S7" s="3"/>
      <c r="T7" s="2"/>
    </row>
    <row r="8" spans="2:20" ht="24.75" customHeight="1" thickBot="1">
      <c r="B8" s="153" t="s">
        <v>125</v>
      </c>
      <c r="C8" s="164">
        <v>13417</v>
      </c>
      <c r="D8" s="164">
        <v>11809</v>
      </c>
      <c r="E8" s="155">
        <f>(D8-C8)*100/C8</f>
        <v>-11.984795408809719</v>
      </c>
      <c r="F8" s="313">
        <v>27340</v>
      </c>
      <c r="G8" s="155">
        <f>(F8-D8)*100/D8</f>
        <v>131.51833347446862</v>
      </c>
      <c r="H8" s="164">
        <f>'Giriş İstatistikleri'!W52-'Karşılaştırmalı Hareketler-1'!H7</f>
        <v>21559</v>
      </c>
      <c r="I8" s="155">
        <f>(H8-F8)*100/F8</f>
        <v>-21.144842721287493</v>
      </c>
      <c r="J8" s="152"/>
      <c r="L8" s="163"/>
      <c r="M8" s="2"/>
      <c r="N8" s="2"/>
      <c r="O8" s="3"/>
      <c r="P8" s="2"/>
      <c r="Q8" s="3"/>
      <c r="R8" s="12"/>
      <c r="S8" s="3"/>
      <c r="T8" s="2"/>
    </row>
    <row r="9" spans="2:20" ht="24.75" customHeight="1">
      <c r="B9" s="153" t="s">
        <v>6</v>
      </c>
      <c r="C9" s="156">
        <f>SUM(C7:C8)</f>
        <v>29069</v>
      </c>
      <c r="D9" s="156">
        <f>SUM(D7:D8)</f>
        <v>25622</v>
      </c>
      <c r="E9" s="155">
        <f>(D9-C9)*100/C9</f>
        <v>-11.857993051016546</v>
      </c>
      <c r="F9" s="52">
        <f>SUM(F7:F8)</f>
        <v>42784</v>
      </c>
      <c r="G9" s="155">
        <f>(F9-D9)*100/D9</f>
        <v>66.98150027320271</v>
      </c>
      <c r="H9" s="156">
        <f>SUM(H7:H8)</f>
        <v>42217</v>
      </c>
      <c r="I9" s="155">
        <f>(H9-F9)*100/F9</f>
        <v>-1.325261780104712</v>
      </c>
      <c r="J9" s="152"/>
      <c r="L9" s="163"/>
      <c r="M9" s="2"/>
      <c r="N9" s="2"/>
      <c r="O9" s="3"/>
      <c r="P9" s="2"/>
      <c r="Q9" s="16"/>
      <c r="R9" s="2"/>
      <c r="S9" s="16"/>
      <c r="T9" s="2"/>
    </row>
    <row r="10" spans="2:20" ht="24.75" customHeight="1">
      <c r="B10" s="153"/>
      <c r="C10" s="154"/>
      <c r="D10" s="154"/>
      <c r="E10" s="154"/>
      <c r="F10" s="154"/>
      <c r="G10" s="154"/>
      <c r="H10" s="154"/>
      <c r="I10" s="154"/>
      <c r="J10" s="152"/>
      <c r="L10" s="163"/>
      <c r="M10" s="2"/>
      <c r="N10" s="2"/>
      <c r="O10" s="2"/>
      <c r="P10" s="2"/>
      <c r="Q10" s="2"/>
      <c r="R10" s="2"/>
      <c r="S10" s="2"/>
      <c r="T10" s="2"/>
    </row>
    <row r="11" spans="2:20" ht="24.75" customHeight="1">
      <c r="B11" s="367" t="s">
        <v>301</v>
      </c>
      <c r="C11" s="366"/>
      <c r="D11" s="366"/>
      <c r="E11" s="366"/>
      <c r="F11" s="366"/>
      <c r="G11" s="366"/>
      <c r="H11" s="366"/>
      <c r="I11" s="366"/>
      <c r="J11" s="368"/>
      <c r="L11" s="364"/>
      <c r="M11" s="361"/>
      <c r="N11" s="361"/>
      <c r="O11" s="361"/>
      <c r="P11" s="361"/>
      <c r="Q11" s="361"/>
      <c r="R11" s="361"/>
      <c r="S11" s="361"/>
      <c r="T11" s="361"/>
    </row>
    <row r="12" spans="2:20" ht="24.75" customHeight="1">
      <c r="B12" s="367" t="s">
        <v>302</v>
      </c>
      <c r="C12" s="366"/>
      <c r="D12" s="366"/>
      <c r="E12" s="366"/>
      <c r="F12" s="366"/>
      <c r="G12" s="366"/>
      <c r="H12" s="366"/>
      <c r="I12" s="366"/>
      <c r="J12" s="368"/>
      <c r="L12" s="361"/>
      <c r="M12" s="361"/>
      <c r="N12" s="361"/>
      <c r="O12" s="361"/>
      <c r="P12" s="361"/>
      <c r="Q12" s="361"/>
      <c r="R12" s="361"/>
      <c r="S12" s="361"/>
      <c r="T12" s="361"/>
    </row>
    <row r="13" spans="2:20" ht="24.75" customHeight="1">
      <c r="B13" s="367" t="s">
        <v>303</v>
      </c>
      <c r="C13" s="366"/>
      <c r="D13" s="366"/>
      <c r="E13" s="366"/>
      <c r="F13" s="366"/>
      <c r="G13" s="366"/>
      <c r="H13" s="366"/>
      <c r="I13" s="366"/>
      <c r="J13" s="368"/>
      <c r="L13" s="361"/>
      <c r="M13" s="361"/>
      <c r="N13" s="361"/>
      <c r="O13" s="361"/>
      <c r="P13" s="361"/>
      <c r="Q13" s="361"/>
      <c r="R13" s="361"/>
      <c r="S13" s="361"/>
      <c r="T13" s="361"/>
    </row>
    <row r="14" spans="2:20" ht="24.75" customHeight="1">
      <c r="B14" s="153"/>
      <c r="C14" s="154"/>
      <c r="D14" s="154"/>
      <c r="E14" s="154"/>
      <c r="F14" s="154"/>
      <c r="G14" s="154"/>
      <c r="H14" s="154"/>
      <c r="I14" s="154"/>
      <c r="J14" s="152"/>
      <c r="L14" s="2"/>
      <c r="M14" s="2"/>
      <c r="N14" s="2"/>
      <c r="O14" s="2"/>
      <c r="P14" s="2"/>
      <c r="Q14" s="2"/>
      <c r="R14" s="2"/>
      <c r="S14" s="2"/>
      <c r="T14" s="2"/>
    </row>
    <row r="15" spans="2:20" ht="24.75" customHeight="1">
      <c r="B15" s="367" t="s">
        <v>304</v>
      </c>
      <c r="C15" s="372"/>
      <c r="D15" s="372"/>
      <c r="E15" s="372"/>
      <c r="F15" s="372"/>
      <c r="G15" s="372"/>
      <c r="H15" s="372"/>
      <c r="I15" s="372"/>
      <c r="J15" s="373"/>
      <c r="L15" s="362"/>
      <c r="M15" s="362"/>
      <c r="N15" s="362"/>
      <c r="O15" s="362"/>
      <c r="P15" s="362"/>
      <c r="Q15" s="362"/>
      <c r="R15" s="362"/>
      <c r="S15" s="362"/>
      <c r="T15" s="362"/>
    </row>
    <row r="16" spans="2:20" ht="24.75" customHeight="1" thickBot="1">
      <c r="B16" s="153"/>
      <c r="C16" s="151">
        <v>2007</v>
      </c>
      <c r="D16" s="151">
        <v>2008</v>
      </c>
      <c r="E16" s="151">
        <v>2009</v>
      </c>
      <c r="F16" s="157" t="s">
        <v>218</v>
      </c>
      <c r="G16" s="158" t="s">
        <v>219</v>
      </c>
      <c r="H16" s="159"/>
      <c r="I16" s="159"/>
      <c r="J16" s="152"/>
      <c r="L16" s="163"/>
      <c r="M16" s="2"/>
      <c r="N16" s="2"/>
      <c r="O16" s="8"/>
      <c r="P16" s="2"/>
      <c r="Q16" s="8"/>
      <c r="R16" s="2"/>
      <c r="S16" s="8"/>
      <c r="T16" s="2"/>
    </row>
    <row r="17" spans="2:20" ht="24.75" customHeight="1">
      <c r="B17" s="153" t="s">
        <v>14</v>
      </c>
      <c r="C17" s="160">
        <v>225995</v>
      </c>
      <c r="D17" s="160">
        <v>240939</v>
      </c>
      <c r="E17" s="160">
        <f>'MİLLİYETLERE GÖRE'!O5</f>
        <v>253685</v>
      </c>
      <c r="F17" s="155">
        <f aca="true" t="shared" si="0" ref="F17:G20">(D17-C17)*100/C17</f>
        <v>6.612535675568044</v>
      </c>
      <c r="G17" s="155">
        <f>(E17-D17)*100/D17</f>
        <v>5.290135677495134</v>
      </c>
      <c r="H17" s="159"/>
      <c r="I17" s="154"/>
      <c r="J17" s="152"/>
      <c r="L17" s="2"/>
      <c r="M17" s="2"/>
      <c r="N17" s="15"/>
      <c r="O17" s="3"/>
      <c r="P17" s="2"/>
      <c r="Q17" s="16"/>
      <c r="R17" s="2"/>
      <c r="S17" s="16"/>
      <c r="T17" s="2"/>
    </row>
    <row r="18" spans="2:20" ht="24.75" customHeight="1">
      <c r="B18" s="153" t="s">
        <v>26</v>
      </c>
      <c r="C18" s="160">
        <v>128976</v>
      </c>
      <c r="D18" s="160">
        <v>144179</v>
      </c>
      <c r="E18" s="160">
        <f>'MİLLİYETLERE GÖRE'!O22</f>
        <v>142107</v>
      </c>
      <c r="F18" s="155">
        <f t="shared" si="0"/>
        <v>11.78746433444982</v>
      </c>
      <c r="G18" s="155">
        <f t="shared" si="0"/>
        <v>-1.4371024906539787</v>
      </c>
      <c r="H18" s="159"/>
      <c r="I18" s="159"/>
      <c r="J18" s="161"/>
      <c r="L18" s="2"/>
      <c r="M18" s="2"/>
      <c r="N18" s="13"/>
      <c r="O18" s="3"/>
      <c r="P18" s="13"/>
      <c r="Q18" s="16"/>
      <c r="R18" s="13"/>
      <c r="S18" s="16"/>
      <c r="T18" s="2"/>
    </row>
    <row r="19" spans="2:20" ht="24.75" customHeight="1">
      <c r="B19" s="153" t="s">
        <v>19</v>
      </c>
      <c r="C19" s="160">
        <v>88843</v>
      </c>
      <c r="D19" s="160">
        <v>96748</v>
      </c>
      <c r="E19" s="160">
        <f>'MİLLİYETLERE GÖRE'!O6</f>
        <v>93193</v>
      </c>
      <c r="F19" s="155">
        <f t="shared" si="0"/>
        <v>8.89771844714834</v>
      </c>
      <c r="G19" s="155">
        <f t="shared" si="0"/>
        <v>-3.674494563195105</v>
      </c>
      <c r="H19" s="159"/>
      <c r="I19" s="159"/>
      <c r="J19" s="161"/>
      <c r="L19" s="2"/>
      <c r="M19" s="2"/>
      <c r="N19" s="2"/>
      <c r="O19" s="2"/>
      <c r="P19" s="2"/>
      <c r="Q19" s="2"/>
      <c r="R19" s="2"/>
      <c r="S19" s="2"/>
      <c r="T19" s="2"/>
    </row>
    <row r="20" spans="2:20" ht="24.75" customHeight="1">
      <c r="B20" s="162" t="s">
        <v>21</v>
      </c>
      <c r="C20" s="160">
        <v>77931</v>
      </c>
      <c r="D20" s="160">
        <v>89755</v>
      </c>
      <c r="E20" s="160">
        <f>'MİLLİYETLERE GÖRE'!O8</f>
        <v>77805</v>
      </c>
      <c r="F20" s="155">
        <f t="shared" si="0"/>
        <v>15.172396093980572</v>
      </c>
      <c r="G20" s="155">
        <f t="shared" si="0"/>
        <v>-13.314021502980335</v>
      </c>
      <c r="H20" s="159"/>
      <c r="I20" s="154"/>
      <c r="J20" s="152"/>
      <c r="L20" s="361"/>
      <c r="M20" s="361"/>
      <c r="N20" s="361"/>
      <c r="O20" s="361"/>
      <c r="P20" s="361"/>
      <c r="Q20" s="361"/>
      <c r="R20" s="361"/>
      <c r="S20" s="361"/>
      <c r="T20" s="361"/>
    </row>
    <row r="21" spans="2:20" ht="24.75" customHeight="1">
      <c r="B21" s="162" t="s">
        <v>20</v>
      </c>
      <c r="C21" s="160">
        <v>70004</v>
      </c>
      <c r="D21" s="160">
        <v>69997</v>
      </c>
      <c r="E21" s="160">
        <v>67161</v>
      </c>
      <c r="F21" s="155">
        <f>(D21-C21)*100/C21</f>
        <v>-0.009999428604079767</v>
      </c>
      <c r="G21" s="155">
        <f>(E21-D21)*100/D21</f>
        <v>-4.051602211523351</v>
      </c>
      <c r="H21" s="154"/>
      <c r="I21" s="154"/>
      <c r="J21" s="152"/>
      <c r="L21" s="361"/>
      <c r="M21" s="361"/>
      <c r="N21" s="361"/>
      <c r="O21" s="361"/>
      <c r="P21" s="361"/>
      <c r="Q21" s="361"/>
      <c r="R21" s="361"/>
      <c r="S21" s="361"/>
      <c r="T21" s="361"/>
    </row>
    <row r="22" spans="2:20" ht="24.75" customHeight="1">
      <c r="B22" s="162"/>
      <c r="C22" s="2"/>
      <c r="D22" s="2"/>
      <c r="E22" s="160"/>
      <c r="F22" s="155"/>
      <c r="G22" s="155"/>
      <c r="H22" s="154"/>
      <c r="I22" s="154"/>
      <c r="J22" s="152"/>
      <c r="L22" s="8"/>
      <c r="M22" s="8"/>
      <c r="N22" s="8"/>
      <c r="O22" s="8"/>
      <c r="P22" s="8"/>
      <c r="Q22" s="8"/>
      <c r="R22" s="8"/>
      <c r="S22" s="8"/>
      <c r="T22" s="8"/>
    </row>
    <row r="23" spans="2:20" ht="24.75" customHeight="1">
      <c r="B23" s="367" t="s">
        <v>305</v>
      </c>
      <c r="C23" s="366"/>
      <c r="D23" s="366"/>
      <c r="E23" s="366"/>
      <c r="F23" s="366"/>
      <c r="G23" s="366"/>
      <c r="H23" s="366"/>
      <c r="I23" s="366"/>
      <c r="J23" s="368"/>
      <c r="L23" s="8"/>
      <c r="M23" s="8"/>
      <c r="N23" s="8"/>
      <c r="O23" s="8"/>
      <c r="P23" s="8"/>
      <c r="Q23" s="8"/>
      <c r="R23" s="8"/>
      <c r="S23" s="8"/>
      <c r="T23" s="8"/>
    </row>
    <row r="24" spans="2:20" ht="24.75" customHeight="1" thickBot="1">
      <c r="B24" s="153"/>
      <c r="C24" s="151">
        <v>2006</v>
      </c>
      <c r="D24" s="151">
        <v>2007</v>
      </c>
      <c r="E24" s="151">
        <v>2008</v>
      </c>
      <c r="F24" s="151">
        <v>2009</v>
      </c>
      <c r="G24" s="215" t="s">
        <v>220</v>
      </c>
      <c r="H24" s="215" t="s">
        <v>218</v>
      </c>
      <c r="I24" s="165" t="s">
        <v>244</v>
      </c>
      <c r="J24" s="152"/>
      <c r="L24" s="8"/>
      <c r="M24" s="8"/>
      <c r="N24" s="8"/>
      <c r="O24" s="8"/>
      <c r="P24" s="8"/>
      <c r="Q24" s="8"/>
      <c r="R24" s="8"/>
      <c r="S24" s="8"/>
      <c r="T24" s="8"/>
    </row>
    <row r="25" spans="2:18" ht="24.75" customHeight="1">
      <c r="B25" s="153" t="s">
        <v>124</v>
      </c>
      <c r="C25" s="160">
        <v>524681</v>
      </c>
      <c r="D25" s="160">
        <v>609687</v>
      </c>
      <c r="E25" s="160">
        <v>677559</v>
      </c>
      <c r="F25" s="160">
        <f>645676+H7</f>
        <v>666334</v>
      </c>
      <c r="G25" s="155">
        <f aca="true" t="shared" si="1" ref="G25:I27">((D25/C25)-1)*100</f>
        <v>16.201463365359146</v>
      </c>
      <c r="H25" s="155">
        <f t="shared" si="1"/>
        <v>11.132269508780745</v>
      </c>
      <c r="I25" s="155">
        <f t="shared" si="1"/>
        <v>-1.6566822963018701</v>
      </c>
      <c r="J25" s="152"/>
      <c r="L25" s="8"/>
      <c r="M25" s="8"/>
      <c r="N25" s="8"/>
      <c r="O25" s="8"/>
      <c r="P25" s="8"/>
      <c r="Q25" s="8"/>
      <c r="R25" s="8"/>
    </row>
    <row r="26" spans="2:18" ht="24.75" customHeight="1" thickBot="1">
      <c r="B26" s="153" t="s">
        <v>125</v>
      </c>
      <c r="C26" s="160">
        <v>230605</v>
      </c>
      <c r="D26" s="160">
        <v>340709</v>
      </c>
      <c r="E26" s="160">
        <v>367454</v>
      </c>
      <c r="F26" s="160">
        <f>336047+H8</f>
        <v>357606</v>
      </c>
      <c r="G26" s="166">
        <f t="shared" si="1"/>
        <v>47.745712365299966</v>
      </c>
      <c r="H26" s="166">
        <f t="shared" si="1"/>
        <v>7.849807313572588</v>
      </c>
      <c r="I26" s="166">
        <f t="shared" si="1"/>
        <v>-2.6800633548689112</v>
      </c>
      <c r="J26" s="152"/>
      <c r="L26" s="8"/>
      <c r="M26" s="8"/>
      <c r="N26" s="8"/>
      <c r="O26" s="8"/>
      <c r="P26" s="8"/>
      <c r="Q26" s="8"/>
      <c r="R26" s="8"/>
    </row>
    <row r="27" spans="2:18" ht="24.75" customHeight="1">
      <c r="B27" s="153" t="s">
        <v>6</v>
      </c>
      <c r="C27" s="419">
        <f>SUM(C25:C26)</f>
        <v>755286</v>
      </c>
      <c r="D27" s="419">
        <f>SUM(D25:D26)</f>
        <v>950396</v>
      </c>
      <c r="E27" s="419">
        <f>SUM(E25:E26)</f>
        <v>1045013</v>
      </c>
      <c r="F27" s="419">
        <f>SUM(F25:F26)</f>
        <v>1023940</v>
      </c>
      <c r="G27" s="155">
        <f t="shared" si="1"/>
        <v>25.832598512351623</v>
      </c>
      <c r="H27" s="155">
        <f t="shared" si="1"/>
        <v>9.955534324639403</v>
      </c>
      <c r="I27" s="155">
        <f t="shared" si="1"/>
        <v>-2.016529937905076</v>
      </c>
      <c r="J27" s="152"/>
      <c r="L27" s="8"/>
      <c r="M27" s="8"/>
      <c r="N27" s="8"/>
      <c r="O27" s="8"/>
      <c r="P27" s="8"/>
      <c r="Q27" s="8"/>
      <c r="R27" s="8"/>
    </row>
    <row r="28" spans="2:20" ht="24.75" customHeight="1">
      <c r="B28" s="367"/>
      <c r="C28" s="366"/>
      <c r="D28" s="366"/>
      <c r="E28" s="366"/>
      <c r="F28" s="366"/>
      <c r="G28" s="366"/>
      <c r="H28" s="366"/>
      <c r="I28" s="366"/>
      <c r="J28" s="368"/>
      <c r="L28" s="363"/>
      <c r="M28" s="363"/>
      <c r="N28" s="363"/>
      <c r="O28" s="363"/>
      <c r="P28" s="363"/>
      <c r="Q28" s="363"/>
      <c r="R28" s="363"/>
      <c r="S28" s="363"/>
      <c r="T28" s="363"/>
    </row>
    <row r="29" spans="2:20" ht="24.75" customHeight="1">
      <c r="B29" s="150"/>
      <c r="C29" s="159"/>
      <c r="D29" s="159"/>
      <c r="E29" s="159"/>
      <c r="F29" s="159"/>
      <c r="G29" s="159"/>
      <c r="H29" s="159"/>
      <c r="I29" s="159"/>
      <c r="J29" s="161"/>
      <c r="L29" s="9"/>
      <c r="M29" s="9"/>
      <c r="N29" s="9"/>
      <c r="O29" s="9"/>
      <c r="P29" s="9"/>
      <c r="Q29" s="9"/>
      <c r="R29" s="9"/>
      <c r="S29" s="9"/>
      <c r="T29" s="9"/>
    </row>
    <row r="30" spans="2:20" ht="24.75" customHeight="1" thickBot="1">
      <c r="B30" s="153"/>
      <c r="C30" s="154"/>
      <c r="D30" s="154"/>
      <c r="E30" s="151" t="s">
        <v>116</v>
      </c>
      <c r="F30" s="151" t="s">
        <v>117</v>
      </c>
      <c r="G30" s="151" t="s">
        <v>118</v>
      </c>
      <c r="H30" s="154"/>
      <c r="I30" s="154"/>
      <c r="J30" s="152"/>
      <c r="L30" s="362"/>
      <c r="M30" s="365"/>
      <c r="N30" s="365"/>
      <c r="O30" s="365"/>
      <c r="P30" s="365"/>
      <c r="Q30" s="365"/>
      <c r="R30" s="365"/>
      <c r="S30" s="365"/>
      <c r="T30" s="365"/>
    </row>
    <row r="31" spans="2:20" ht="24.75" customHeight="1">
      <c r="B31" s="153"/>
      <c r="C31" s="154"/>
      <c r="D31" s="154"/>
      <c r="E31" s="154"/>
      <c r="F31" s="154"/>
      <c r="G31" s="154"/>
      <c r="H31" s="154"/>
      <c r="I31" s="154"/>
      <c r="J31" s="152"/>
      <c r="L31" s="2"/>
      <c r="M31" s="2"/>
      <c r="N31" s="2"/>
      <c r="O31" s="2"/>
      <c r="P31" s="93"/>
      <c r="Q31" s="93"/>
      <c r="R31" s="9"/>
      <c r="S31" s="9"/>
      <c r="T31" s="2"/>
    </row>
    <row r="32" spans="2:20" ht="24.75" customHeight="1">
      <c r="B32" s="153" t="s">
        <v>119</v>
      </c>
      <c r="C32" s="154"/>
      <c r="D32" s="154"/>
      <c r="E32" s="147">
        <v>127</v>
      </c>
      <c r="F32" s="147">
        <v>12310</v>
      </c>
      <c r="G32" s="147">
        <v>26305</v>
      </c>
      <c r="H32" s="154"/>
      <c r="I32" s="154"/>
      <c r="J32" s="152"/>
      <c r="L32" s="2"/>
      <c r="M32" s="2"/>
      <c r="N32" s="2"/>
      <c r="O32" s="9"/>
      <c r="P32" s="2"/>
      <c r="Q32" s="2"/>
      <c r="R32" s="9"/>
      <c r="S32" s="2"/>
      <c r="T32" s="2"/>
    </row>
    <row r="33" spans="2:20" ht="24.75" customHeight="1">
      <c r="B33" s="153" t="s">
        <v>120</v>
      </c>
      <c r="C33" s="154"/>
      <c r="D33" s="154"/>
      <c r="E33" s="147">
        <v>49</v>
      </c>
      <c r="F33" s="147">
        <v>5591</v>
      </c>
      <c r="G33" s="147">
        <v>13611</v>
      </c>
      <c r="H33" s="154"/>
      <c r="I33" s="154"/>
      <c r="J33" s="152"/>
      <c r="L33" s="2"/>
      <c r="M33" s="2"/>
      <c r="N33" s="2"/>
      <c r="O33" s="13"/>
      <c r="P33" s="3"/>
      <c r="Q33" s="3"/>
      <c r="R33" s="9"/>
      <c r="S33" s="2"/>
      <c r="T33" s="2"/>
    </row>
    <row r="34" spans="2:20" ht="24.75" customHeight="1">
      <c r="B34" s="153"/>
      <c r="C34" s="154"/>
      <c r="D34" s="154"/>
      <c r="E34" s="154"/>
      <c r="F34" s="154"/>
      <c r="G34" s="154"/>
      <c r="H34" s="154"/>
      <c r="I34" s="154"/>
      <c r="J34" s="152"/>
      <c r="L34" s="2"/>
      <c r="M34" s="2"/>
      <c r="N34" s="2"/>
      <c r="O34" s="2"/>
      <c r="P34" s="3"/>
      <c r="Q34" s="3"/>
      <c r="R34" s="9"/>
      <c r="S34" s="9"/>
      <c r="T34" s="9"/>
    </row>
    <row r="35" spans="2:20" ht="24.75" customHeight="1" thickBot="1">
      <c r="B35" s="153"/>
      <c r="C35" s="154"/>
      <c r="D35" s="147"/>
      <c r="E35" s="149" t="s">
        <v>152</v>
      </c>
      <c r="F35" s="149" t="s">
        <v>121</v>
      </c>
      <c r="G35" s="149" t="s">
        <v>122</v>
      </c>
      <c r="H35" s="149" t="s">
        <v>6</v>
      </c>
      <c r="I35" s="154"/>
      <c r="J35" s="152"/>
      <c r="L35" s="13"/>
      <c r="M35" s="2"/>
      <c r="N35" s="2"/>
      <c r="O35" s="2"/>
      <c r="P35" s="3"/>
      <c r="Q35" s="3"/>
      <c r="R35" s="9"/>
      <c r="S35" s="9"/>
      <c r="T35" s="9"/>
    </row>
    <row r="36" spans="2:20" ht="24.75" customHeight="1">
      <c r="B36" s="153"/>
      <c r="C36" s="154"/>
      <c r="D36" s="154"/>
      <c r="E36" s="154"/>
      <c r="F36" s="154"/>
      <c r="G36" s="154"/>
      <c r="H36" s="154"/>
      <c r="I36" s="154"/>
      <c r="J36" s="152"/>
      <c r="L36" s="12"/>
      <c r="M36" s="12"/>
      <c r="N36" s="13"/>
      <c r="O36" s="2"/>
      <c r="P36" s="3"/>
      <c r="Q36" s="3"/>
      <c r="R36" s="9"/>
      <c r="S36" s="2"/>
      <c r="T36" s="2"/>
    </row>
    <row r="37" spans="2:20" ht="24.75" customHeight="1">
      <c r="B37" s="153" t="s">
        <v>123</v>
      </c>
      <c r="C37" s="154"/>
      <c r="D37" s="154"/>
      <c r="E37" s="147">
        <v>301</v>
      </c>
      <c r="F37" s="147">
        <v>4</v>
      </c>
      <c r="G37" s="147">
        <v>34</v>
      </c>
      <c r="H37" s="147">
        <v>339</v>
      </c>
      <c r="I37" s="154"/>
      <c r="J37" s="152"/>
      <c r="L37" s="2"/>
      <c r="M37" s="2"/>
      <c r="N37" s="2"/>
      <c r="O37" s="2"/>
      <c r="P37" s="2"/>
      <c r="Q37" s="2"/>
      <c r="R37" s="2"/>
      <c r="S37" s="2"/>
      <c r="T37" s="2"/>
    </row>
    <row r="38" spans="2:20" ht="24.75" customHeight="1">
      <c r="B38" s="153"/>
      <c r="C38" s="154"/>
      <c r="D38" s="154"/>
      <c r="E38" s="154"/>
      <c r="F38" s="154"/>
      <c r="G38" s="154"/>
      <c r="H38" s="154"/>
      <c r="I38" s="154"/>
      <c r="J38" s="152"/>
      <c r="L38" s="2"/>
      <c r="M38" s="2"/>
      <c r="N38" s="2"/>
      <c r="O38" s="2"/>
      <c r="P38" s="2"/>
      <c r="Q38" s="2"/>
      <c r="R38" s="2"/>
      <c r="S38" s="2"/>
      <c r="T38" s="2"/>
    </row>
    <row r="39" spans="2:20" ht="24.75" customHeight="1">
      <c r="B39" s="367" t="s">
        <v>314</v>
      </c>
      <c r="C39" s="366"/>
      <c r="D39" s="366"/>
      <c r="E39" s="366"/>
      <c r="F39" s="366"/>
      <c r="G39" s="366"/>
      <c r="H39" s="147"/>
      <c r="I39" s="147"/>
      <c r="J39" s="148"/>
      <c r="L39" s="2"/>
      <c r="M39" s="2"/>
      <c r="N39" s="2"/>
      <c r="O39" s="2"/>
      <c r="P39" s="2"/>
      <c r="Q39" s="2"/>
      <c r="R39" s="2"/>
      <c r="S39" s="2"/>
      <c r="T39" s="2"/>
    </row>
    <row r="40" spans="2:20" ht="24.75" customHeight="1">
      <c r="B40" s="153" t="s">
        <v>211</v>
      </c>
      <c r="C40" s="154"/>
      <c r="D40" s="154"/>
      <c r="E40" s="147"/>
      <c r="F40" s="147"/>
      <c r="G40" s="147"/>
      <c r="H40" s="154"/>
      <c r="I40" s="154"/>
      <c r="J40" s="152"/>
      <c r="L40" s="2"/>
      <c r="M40" s="2"/>
      <c r="N40" s="2"/>
      <c r="O40" s="8"/>
      <c r="P40" s="8"/>
      <c r="Q40" s="8"/>
      <c r="R40" s="2"/>
      <c r="S40" s="2"/>
      <c r="T40" s="2"/>
    </row>
    <row r="41" spans="2:20" ht="24.75" customHeight="1">
      <c r="B41" s="153"/>
      <c r="C41" s="154"/>
      <c r="D41" s="154"/>
      <c r="E41" s="147"/>
      <c r="F41" s="147"/>
      <c r="G41" s="147"/>
      <c r="H41" s="154"/>
      <c r="I41" s="154"/>
      <c r="J41" s="152"/>
      <c r="L41" s="2"/>
      <c r="M41" s="2"/>
      <c r="N41" s="2"/>
      <c r="O41" s="8"/>
      <c r="P41" s="8"/>
      <c r="Q41" s="8"/>
      <c r="R41" s="2"/>
      <c r="S41" s="2"/>
      <c r="T41" s="2"/>
    </row>
    <row r="42" spans="2:20" ht="24.75" customHeight="1">
      <c r="B42" s="153"/>
      <c r="C42" s="154"/>
      <c r="D42" s="154"/>
      <c r="E42" s="154"/>
      <c r="F42" s="154"/>
      <c r="G42" s="154"/>
      <c r="H42" s="154"/>
      <c r="I42" s="154"/>
      <c r="J42" s="152"/>
      <c r="L42" s="2"/>
      <c r="M42" s="2"/>
      <c r="N42" s="2"/>
      <c r="O42" s="2"/>
      <c r="P42" s="2"/>
      <c r="Q42" s="2"/>
      <c r="R42" s="2"/>
      <c r="S42" s="2"/>
      <c r="T42" s="2"/>
    </row>
    <row r="43" spans="2:20" ht="24.75" customHeight="1">
      <c r="B43" s="367"/>
      <c r="C43" s="366"/>
      <c r="D43" s="366"/>
      <c r="E43" s="366"/>
      <c r="F43" s="366"/>
      <c r="G43" s="366"/>
      <c r="H43" s="366"/>
      <c r="I43" s="366"/>
      <c r="J43" s="368"/>
      <c r="L43" s="2"/>
      <c r="M43" s="2"/>
      <c r="N43" s="8"/>
      <c r="O43" s="8"/>
      <c r="P43" s="8"/>
      <c r="Q43" s="8"/>
      <c r="R43" s="8"/>
      <c r="S43" s="2"/>
      <c r="T43" s="2"/>
    </row>
    <row r="44" spans="2:20" ht="24.75" customHeight="1">
      <c r="B44" s="153"/>
      <c r="C44" s="154"/>
      <c r="D44" s="154"/>
      <c r="E44" s="154"/>
      <c r="F44" s="154"/>
      <c r="G44" s="154"/>
      <c r="H44" s="154"/>
      <c r="I44" s="154"/>
      <c r="J44" s="152"/>
      <c r="L44" s="2"/>
      <c r="M44" s="2"/>
      <c r="N44" s="2"/>
      <c r="O44" s="2"/>
      <c r="P44" s="2"/>
      <c r="Q44" s="2"/>
      <c r="R44" s="2"/>
      <c r="S44" s="2"/>
      <c r="T44" s="2"/>
    </row>
    <row r="45" spans="2:20" ht="24.75" customHeight="1" thickBot="1">
      <c r="B45" s="369" t="s">
        <v>96</v>
      </c>
      <c r="C45" s="370"/>
      <c r="D45" s="370"/>
      <c r="E45" s="370"/>
      <c r="F45" s="370"/>
      <c r="G45" s="370"/>
      <c r="H45" s="370"/>
      <c r="I45" s="370"/>
      <c r="J45" s="371"/>
      <c r="L45" s="2"/>
      <c r="M45" s="2"/>
      <c r="N45" s="2"/>
      <c r="O45" s="8"/>
      <c r="P45" s="8"/>
      <c r="Q45" s="8"/>
      <c r="R45" s="8"/>
      <c r="S45" s="2"/>
      <c r="T45" s="2"/>
    </row>
    <row r="46" spans="2:20" ht="24.75" customHeight="1">
      <c r="B46" s="154"/>
      <c r="C46" s="154"/>
      <c r="D46" s="154"/>
      <c r="E46" s="154"/>
      <c r="F46" s="154"/>
      <c r="G46" s="154"/>
      <c r="H46" s="154"/>
      <c r="I46" s="154"/>
      <c r="J46" s="154"/>
      <c r="L46" s="2"/>
      <c r="M46" s="2"/>
      <c r="N46" s="2"/>
      <c r="O46" s="2"/>
      <c r="P46" s="2"/>
      <c r="Q46" s="2"/>
      <c r="R46" s="2"/>
      <c r="S46" s="2"/>
      <c r="T46" s="2"/>
    </row>
    <row r="47" spans="2:20" ht="24.75" customHeight="1">
      <c r="B47" s="366"/>
      <c r="C47" s="366"/>
      <c r="D47" s="366"/>
      <c r="E47" s="366"/>
      <c r="F47" s="366"/>
      <c r="G47" s="366"/>
      <c r="H47" s="366"/>
      <c r="I47" s="366"/>
      <c r="J47" s="366"/>
      <c r="L47" s="361"/>
      <c r="M47" s="361"/>
      <c r="N47" s="361"/>
      <c r="O47" s="361"/>
      <c r="P47" s="361"/>
      <c r="Q47" s="361"/>
      <c r="R47" s="361"/>
      <c r="S47" s="361"/>
      <c r="T47" s="361"/>
    </row>
    <row r="48" spans="2:20" ht="24.75" customHeight="1">
      <c r="B48" s="154"/>
      <c r="C48" s="154"/>
      <c r="D48" s="154"/>
      <c r="E48" s="154"/>
      <c r="F48" s="154"/>
      <c r="G48" s="154"/>
      <c r="H48" s="154"/>
      <c r="I48" s="154"/>
      <c r="J48" s="154"/>
      <c r="L48" s="2"/>
      <c r="M48" s="2"/>
      <c r="N48" s="2"/>
      <c r="O48" s="2"/>
      <c r="P48" s="2"/>
      <c r="Q48" s="2"/>
      <c r="R48" s="2"/>
      <c r="S48" s="2"/>
      <c r="T48" s="2"/>
    </row>
    <row r="49" spans="2:20" ht="24.75" customHeight="1">
      <c r="B49" s="366"/>
      <c r="C49" s="366"/>
      <c r="D49" s="366"/>
      <c r="E49" s="366"/>
      <c r="F49" s="366"/>
      <c r="G49" s="366"/>
      <c r="H49" s="366"/>
      <c r="I49" s="366"/>
      <c r="J49" s="366"/>
      <c r="L49" s="361"/>
      <c r="M49" s="361"/>
      <c r="N49" s="361"/>
      <c r="O49" s="361"/>
      <c r="P49" s="361"/>
      <c r="Q49" s="361"/>
      <c r="R49" s="361"/>
      <c r="S49" s="361"/>
      <c r="T49" s="361"/>
    </row>
    <row r="50" ht="24.75" customHeight="1"/>
    <row r="51" ht="24.75" customHeight="1"/>
  </sheetData>
  <sheetProtection/>
  <mergeCells count="25">
    <mergeCell ref="B23:J23"/>
    <mergeCell ref="B15:J15"/>
    <mergeCell ref="B2:J4"/>
    <mergeCell ref="B12:J12"/>
    <mergeCell ref="B13:J13"/>
    <mergeCell ref="B5:J5"/>
    <mergeCell ref="B11:J11"/>
    <mergeCell ref="L28:T28"/>
    <mergeCell ref="L30:T30"/>
    <mergeCell ref="B47:J47"/>
    <mergeCell ref="B49:J49"/>
    <mergeCell ref="B28:J28"/>
    <mergeCell ref="B43:J43"/>
    <mergeCell ref="B45:J45"/>
    <mergeCell ref="B39:G39"/>
    <mergeCell ref="L47:T47"/>
    <mergeCell ref="L49:T49"/>
    <mergeCell ref="L2:T4"/>
    <mergeCell ref="L5:T5"/>
    <mergeCell ref="L11:T11"/>
    <mergeCell ref="L12:T12"/>
    <mergeCell ref="L13:T13"/>
    <mergeCell ref="L15:T15"/>
    <mergeCell ref="L20:T20"/>
    <mergeCell ref="L21:T21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3"/>
  <sheetViews>
    <sheetView workbookViewId="0" topLeftCell="A1">
      <selection activeCell="D4" sqref="D4"/>
    </sheetView>
  </sheetViews>
  <sheetFormatPr defaultColWidth="9.140625" defaultRowHeight="12.75"/>
  <cols>
    <col min="1" max="1" width="15.00390625" style="228" customWidth="1"/>
    <col min="2" max="2" width="19.140625" style="228" customWidth="1"/>
    <col min="3" max="3" width="15.00390625" style="228" customWidth="1"/>
    <col min="4" max="4" width="13.8515625" style="228" customWidth="1"/>
    <col min="5" max="5" width="10.57421875" style="228" customWidth="1"/>
    <col min="6" max="6" width="10.7109375" style="228" customWidth="1"/>
    <col min="7" max="7" width="10.140625" style="228" customWidth="1"/>
    <col min="8" max="8" width="10.421875" style="228" customWidth="1"/>
    <col min="9" max="9" width="11.28125" style="228" customWidth="1"/>
    <col min="10" max="10" width="9.140625" style="228" customWidth="1"/>
    <col min="11" max="11" width="14.7109375" style="228" bestFit="1" customWidth="1"/>
    <col min="12" max="14" width="14.7109375" style="228" customWidth="1"/>
    <col min="15" max="16384" width="9.140625" style="228" customWidth="1"/>
  </cols>
  <sheetData>
    <row r="1" spans="1:6" ht="15" customHeight="1">
      <c r="A1" s="382" t="s">
        <v>264</v>
      </c>
      <c r="B1" s="382"/>
      <c r="C1" s="382"/>
      <c r="D1" s="276"/>
      <c r="E1" s="276"/>
      <c r="F1" s="276"/>
    </row>
    <row r="2" spans="1:6" ht="15" customHeight="1">
      <c r="A2" s="297"/>
      <c r="B2" s="297"/>
      <c r="C2" s="297"/>
      <c r="D2" s="276"/>
      <c r="E2" s="276"/>
      <c r="F2" s="276"/>
    </row>
    <row r="3" spans="1:6" ht="15" customHeight="1">
      <c r="A3" s="280" t="s">
        <v>309</v>
      </c>
      <c r="B3" s="281"/>
      <c r="C3" s="282">
        <v>1023940</v>
      </c>
      <c r="D3" s="317"/>
      <c r="E3" s="276"/>
      <c r="F3" s="276"/>
    </row>
    <row r="4" spans="1:6" ht="15" customHeight="1">
      <c r="A4" s="283" t="s">
        <v>265</v>
      </c>
      <c r="B4" s="284"/>
      <c r="C4" s="298">
        <f>((C3/C13)-1)*100</f>
        <v>-2.016529937905076</v>
      </c>
      <c r="D4" s="307" t="s">
        <v>103</v>
      </c>
      <c r="E4" s="276"/>
      <c r="F4" s="276"/>
    </row>
    <row r="5" spans="1:6" ht="15" customHeight="1">
      <c r="A5" s="280" t="s">
        <v>266</v>
      </c>
      <c r="B5" s="286">
        <v>666334</v>
      </c>
      <c r="C5" s="299">
        <f aca="true" t="shared" si="0" ref="C5:C10">((B5/B15)-1)*100</f>
        <v>-1.6566822963018701</v>
      </c>
      <c r="D5" s="307" t="s">
        <v>103</v>
      </c>
      <c r="E5" s="276"/>
      <c r="F5" s="276"/>
    </row>
    <row r="6" spans="1:6" ht="15" customHeight="1">
      <c r="A6" s="287" t="s">
        <v>2</v>
      </c>
      <c r="B6" s="288">
        <f>16218+282470</f>
        <v>298688</v>
      </c>
      <c r="C6" s="300">
        <f t="shared" si="0"/>
        <v>-3.8500167392032103</v>
      </c>
      <c r="D6" s="307" t="s">
        <v>103</v>
      </c>
      <c r="E6" s="276"/>
      <c r="F6" s="276"/>
    </row>
    <row r="7" spans="1:6" ht="15" customHeight="1">
      <c r="A7" s="287" t="s">
        <v>137</v>
      </c>
      <c r="B7" s="289">
        <v>1920</v>
      </c>
      <c r="C7" s="300">
        <f t="shared" si="0"/>
        <v>27.65957446808511</v>
      </c>
      <c r="D7" s="307" t="s">
        <v>103</v>
      </c>
      <c r="E7" s="276"/>
      <c r="F7" s="276"/>
    </row>
    <row r="8" spans="1:6" ht="15" customHeight="1">
      <c r="A8" s="287" t="s">
        <v>99</v>
      </c>
      <c r="B8" s="289">
        <v>42854</v>
      </c>
      <c r="C8" s="300">
        <f t="shared" si="0"/>
        <v>-2.0368042061949976</v>
      </c>
      <c r="D8" s="307" t="s">
        <v>103</v>
      </c>
      <c r="E8" s="276"/>
      <c r="F8" s="276"/>
    </row>
    <row r="9" spans="1:6" ht="15" customHeight="1">
      <c r="A9" s="287" t="s">
        <v>267</v>
      </c>
      <c r="B9" s="289">
        <f>2902+10916</f>
        <v>13818</v>
      </c>
      <c r="C9" s="300">
        <f t="shared" si="0"/>
        <v>19.72965947491552</v>
      </c>
      <c r="D9" s="307" t="s">
        <v>103</v>
      </c>
      <c r="E9" s="276"/>
      <c r="F9" s="276"/>
    </row>
    <row r="10" spans="1:6" ht="15" customHeight="1">
      <c r="A10" s="283" t="s">
        <v>5</v>
      </c>
      <c r="B10" s="284">
        <f>288+38</f>
        <v>326</v>
      </c>
      <c r="C10" s="298">
        <f t="shared" si="0"/>
        <v>1937.5</v>
      </c>
      <c r="D10" s="307" t="s">
        <v>103</v>
      </c>
      <c r="E10" s="276"/>
      <c r="F10" s="276"/>
    </row>
    <row r="12" spans="1:3" ht="12">
      <c r="A12" s="241"/>
      <c r="B12" s="241"/>
      <c r="C12" s="241"/>
    </row>
    <row r="13" spans="1:4" ht="12">
      <c r="A13" s="280" t="s">
        <v>310</v>
      </c>
      <c r="B13" s="281"/>
      <c r="C13" s="282">
        <f>893899+108330+42784</f>
        <v>1045013</v>
      </c>
      <c r="D13" s="261"/>
    </row>
    <row r="14" spans="1:4" ht="15">
      <c r="A14" s="283" t="s">
        <v>273</v>
      </c>
      <c r="B14" s="284"/>
      <c r="C14" s="298">
        <f>((C13/C22)-1)*100</f>
        <v>9.955534324639403</v>
      </c>
      <c r="D14" s="307" t="s">
        <v>103</v>
      </c>
    </row>
    <row r="15" spans="1:4" ht="15">
      <c r="A15" s="280" t="s">
        <v>266</v>
      </c>
      <c r="B15" s="286">
        <f>609805+52310+15444</f>
        <v>677559</v>
      </c>
      <c r="C15" s="299">
        <f>((B15/B24)-1)*100</f>
        <v>11.132269508780745</v>
      </c>
      <c r="D15" s="307" t="s">
        <v>103</v>
      </c>
    </row>
    <row r="16" spans="1:4" ht="15">
      <c r="A16" s="287" t="s">
        <v>2</v>
      </c>
      <c r="B16" s="288">
        <f>237004+52474+21170</f>
        <v>310648</v>
      </c>
      <c r="C16" s="300">
        <f>((B16/B25)-1)*100</f>
        <v>7.849658725584829</v>
      </c>
      <c r="D16" s="307" t="s">
        <v>103</v>
      </c>
    </row>
    <row r="17" spans="1:4" ht="15">
      <c r="A17" s="287" t="s">
        <v>137</v>
      </c>
      <c r="B17" s="288">
        <f>1302+116+86</f>
        <v>1504</v>
      </c>
      <c r="C17" s="302" t="s">
        <v>274</v>
      </c>
      <c r="D17" s="307"/>
    </row>
    <row r="18" spans="1:4" ht="15">
      <c r="A18" s="287" t="s">
        <v>99</v>
      </c>
      <c r="B18" s="288">
        <f>39380+3137+1228</f>
        <v>43745</v>
      </c>
      <c r="C18" s="300">
        <f>((B18/B27)-1)*100</f>
        <v>10.061389825391242</v>
      </c>
      <c r="D18" s="307" t="s">
        <v>103</v>
      </c>
    </row>
    <row r="19" spans="1:4" ht="15">
      <c r="A19" s="287" t="s">
        <v>267</v>
      </c>
      <c r="B19" s="288">
        <f>6408+210+67+104+4752</f>
        <v>11541</v>
      </c>
      <c r="C19" s="300">
        <f>((B19/B28)-1)*100</f>
        <v>-10.707930367504837</v>
      </c>
      <c r="D19" s="307" t="s">
        <v>103</v>
      </c>
    </row>
    <row r="20" spans="1:4" ht="15">
      <c r="A20" s="283" t="s">
        <v>5</v>
      </c>
      <c r="B20" s="290">
        <v>16</v>
      </c>
      <c r="C20" s="303" t="s">
        <v>274</v>
      </c>
      <c r="D20" s="307"/>
    </row>
    <row r="21" spans="1:3" ht="12">
      <c r="A21" s="241"/>
      <c r="B21" s="241"/>
      <c r="C21" s="241"/>
    </row>
    <row r="22" spans="1:4" ht="12">
      <c r="A22" s="280" t="s">
        <v>311</v>
      </c>
      <c r="B22" s="281"/>
      <c r="C22" s="282">
        <f>828868+95906+25622</f>
        <v>950396</v>
      </c>
      <c r="D22" s="261"/>
    </row>
    <row r="23" spans="1:4" ht="15">
      <c r="A23" s="283" t="s">
        <v>275</v>
      </c>
      <c r="B23" s="284"/>
      <c r="C23" s="298">
        <f>((C22/C31)-1)*100</f>
        <v>25.832598512351623</v>
      </c>
      <c r="D23" s="307" t="s">
        <v>103</v>
      </c>
    </row>
    <row r="24" spans="1:4" ht="15">
      <c r="A24" s="280" t="s">
        <v>266</v>
      </c>
      <c r="B24" s="291">
        <f>546341+49533+13813</f>
        <v>609687</v>
      </c>
      <c r="C24" s="301">
        <f>((B24/B33)-1)*100</f>
        <v>16.201463365359146</v>
      </c>
      <c r="D24" s="307" t="s">
        <v>103</v>
      </c>
    </row>
    <row r="25" spans="1:4" ht="15">
      <c r="A25" s="287" t="s">
        <v>2</v>
      </c>
      <c r="B25" s="292">
        <f>237025+41309+9704</f>
        <v>288038</v>
      </c>
      <c r="C25" s="302">
        <f>((B25/B34)-1)*100</f>
        <v>59.240831039019916</v>
      </c>
      <c r="D25" s="307" t="s">
        <v>103</v>
      </c>
    </row>
    <row r="26" spans="1:4" ht="15">
      <c r="A26" s="287" t="s">
        <v>137</v>
      </c>
      <c r="B26" s="292" t="s">
        <v>274</v>
      </c>
      <c r="C26" s="302" t="s">
        <v>274</v>
      </c>
      <c r="D26" s="307"/>
    </row>
    <row r="27" spans="1:4" ht="15">
      <c r="A27" s="287" t="s">
        <v>99</v>
      </c>
      <c r="B27" s="292">
        <f>35873+2586+1287</f>
        <v>39746</v>
      </c>
      <c r="C27" s="302">
        <f>((B27/B36)-1)*100</f>
        <v>0.6431682366048852</v>
      </c>
      <c r="D27" s="307" t="s">
        <v>103</v>
      </c>
    </row>
    <row r="28" spans="1:4" ht="15">
      <c r="A28" s="287" t="s">
        <v>267</v>
      </c>
      <c r="B28" s="292">
        <f>9629+143+2335+620+198</f>
        <v>12925</v>
      </c>
      <c r="C28" s="302">
        <f>((B28/B37)-1)*100</f>
        <v>26.331736878115542</v>
      </c>
      <c r="D28" s="307" t="s">
        <v>103</v>
      </c>
    </row>
    <row r="29" spans="1:4" ht="15">
      <c r="A29" s="283" t="s">
        <v>5</v>
      </c>
      <c r="B29" s="293" t="s">
        <v>274</v>
      </c>
      <c r="C29" s="303" t="s">
        <v>274</v>
      </c>
      <c r="D29" s="307"/>
    </row>
    <row r="30" spans="1:3" ht="12">
      <c r="A30" s="241"/>
      <c r="B30" s="241"/>
      <c r="C30" s="241"/>
    </row>
    <row r="31" spans="1:4" ht="12">
      <c r="A31" s="280" t="s">
        <v>312</v>
      </c>
      <c r="B31" s="281"/>
      <c r="C31" s="282">
        <f>651230+74987+29069</f>
        <v>755286</v>
      </c>
      <c r="D31" s="261"/>
    </row>
    <row r="32" spans="1:4" ht="15">
      <c r="A32" s="283" t="s">
        <v>276</v>
      </c>
      <c r="B32" s="284"/>
      <c r="C32" s="298">
        <f>((C31/C40)-1)*100</f>
        <v>-2.765937451320921</v>
      </c>
      <c r="D32" s="307" t="s">
        <v>103</v>
      </c>
    </row>
    <row r="33" spans="1:4" ht="15">
      <c r="A33" s="280" t="s">
        <v>266</v>
      </c>
      <c r="B33" s="291">
        <f>469194+39835+15652</f>
        <v>524681</v>
      </c>
      <c r="C33" s="299">
        <f>((B33/B41)-1)*100</f>
        <v>-20.11738465169035</v>
      </c>
      <c r="D33" s="307" t="s">
        <v>103</v>
      </c>
    </row>
    <row r="34" spans="1:4" ht="15">
      <c r="A34" s="287" t="s">
        <v>2</v>
      </c>
      <c r="B34" s="292">
        <f>139213+32252+9417</f>
        <v>180882</v>
      </c>
      <c r="C34" s="300">
        <f>((B34/B42)-1)*100</f>
        <v>167.60463361590698</v>
      </c>
      <c r="D34" s="307" t="s">
        <v>103</v>
      </c>
    </row>
    <row r="35" spans="1:4" ht="15">
      <c r="A35" s="287" t="s">
        <v>137</v>
      </c>
      <c r="B35" s="292" t="s">
        <v>274</v>
      </c>
      <c r="C35" s="302" t="s">
        <v>274</v>
      </c>
      <c r="D35" s="307"/>
    </row>
    <row r="36" spans="1:4" ht="15">
      <c r="A36" s="287" t="s">
        <v>99</v>
      </c>
      <c r="B36" s="292">
        <f>36413+1744+1335</f>
        <v>39492</v>
      </c>
      <c r="C36" s="300">
        <f>((B36/B44)-1)*100</f>
        <v>-17.41012610577828</v>
      </c>
      <c r="D36" s="307" t="s">
        <v>103</v>
      </c>
    </row>
    <row r="37" spans="1:4" ht="15">
      <c r="A37" s="287" t="s">
        <v>267</v>
      </c>
      <c r="B37" s="292">
        <f>6410+421+735+374+2291</f>
        <v>10231</v>
      </c>
      <c r="C37" s="300">
        <f>((B37/B45)-1)*100</f>
        <v>125.05499340079189</v>
      </c>
      <c r="D37" s="307" t="s">
        <v>103</v>
      </c>
    </row>
    <row r="38" spans="1:4" ht="15">
      <c r="A38" s="283" t="s">
        <v>5</v>
      </c>
      <c r="B38" s="293" t="s">
        <v>274</v>
      </c>
      <c r="C38" s="303" t="s">
        <v>274</v>
      </c>
      <c r="D38" s="307"/>
    </row>
    <row r="39" spans="1:3" ht="12">
      <c r="A39" s="241"/>
      <c r="B39" s="279"/>
      <c r="C39" s="241"/>
    </row>
    <row r="40" spans="1:3" ht="12">
      <c r="A40" s="243" t="s">
        <v>313</v>
      </c>
      <c r="B40" s="233"/>
      <c r="C40" s="285">
        <f>690612+67759+18400</f>
        <v>776771</v>
      </c>
    </row>
    <row r="41" spans="1:3" ht="12">
      <c r="A41" s="280" t="s">
        <v>266</v>
      </c>
      <c r="B41" s="291">
        <f>587612+52986+16217</f>
        <v>656815</v>
      </c>
      <c r="C41" s="294"/>
    </row>
    <row r="42" spans="1:3" ht="12">
      <c r="A42" s="287" t="s">
        <v>2</v>
      </c>
      <c r="B42" s="292">
        <f>56363+10386+844</f>
        <v>67593</v>
      </c>
      <c r="C42" s="295"/>
    </row>
    <row r="43" spans="1:3" ht="12">
      <c r="A43" s="287" t="s">
        <v>137</v>
      </c>
      <c r="B43" s="292" t="s">
        <v>274</v>
      </c>
      <c r="C43" s="295"/>
    </row>
    <row r="44" spans="1:3" ht="12">
      <c r="A44" s="287" t="s">
        <v>99</v>
      </c>
      <c r="B44" s="292">
        <f>44510+2482+825</f>
        <v>47817</v>
      </c>
      <c r="C44" s="295"/>
    </row>
    <row r="45" spans="1:3" ht="12">
      <c r="A45" s="287" t="s">
        <v>267</v>
      </c>
      <c r="B45" s="292">
        <f>2127+183+1722+7+507</f>
        <v>4546</v>
      </c>
      <c r="C45" s="295"/>
    </row>
    <row r="46" spans="1:3" ht="12">
      <c r="A46" s="283" t="s">
        <v>5</v>
      </c>
      <c r="B46" s="293" t="s">
        <v>274</v>
      </c>
      <c r="C46" s="296"/>
    </row>
    <row r="48" ht="12">
      <c r="B48" s="261"/>
    </row>
    <row r="53" spans="2:19" ht="15">
      <c r="B53" s="379" t="s">
        <v>266</v>
      </c>
      <c r="C53" s="380"/>
      <c r="D53" s="380"/>
      <c r="E53" s="380"/>
      <c r="F53" s="380"/>
      <c r="G53" s="381"/>
      <c r="H53" s="377" t="s">
        <v>268</v>
      </c>
      <c r="I53" s="378"/>
      <c r="L53" s="379" t="s">
        <v>269</v>
      </c>
      <c r="M53" s="380"/>
      <c r="N53" s="380"/>
      <c r="O53" s="380"/>
      <c r="P53" s="380"/>
      <c r="Q53" s="381"/>
      <c r="R53" s="377" t="s">
        <v>268</v>
      </c>
      <c r="S53" s="378"/>
    </row>
    <row r="54" spans="2:19" ht="12">
      <c r="B54" s="271">
        <v>2004</v>
      </c>
      <c r="C54" s="271">
        <v>2005</v>
      </c>
      <c r="D54" s="277">
        <v>2006</v>
      </c>
      <c r="E54" s="262">
        <v>2007</v>
      </c>
      <c r="F54" s="262">
        <v>2008</v>
      </c>
      <c r="G54" s="262">
        <v>2009</v>
      </c>
      <c r="H54" s="262" t="s">
        <v>260</v>
      </c>
      <c r="I54" s="262" t="s">
        <v>261</v>
      </c>
      <c r="L54" s="271">
        <v>2004</v>
      </c>
      <c r="M54" s="271">
        <v>2005</v>
      </c>
      <c r="N54" s="271">
        <v>2006</v>
      </c>
      <c r="O54" s="262">
        <v>2007</v>
      </c>
      <c r="P54" s="262">
        <v>2008</v>
      </c>
      <c r="Q54" s="262">
        <v>2009</v>
      </c>
      <c r="R54" s="262" t="s">
        <v>260</v>
      </c>
      <c r="S54" s="262" t="s">
        <v>261</v>
      </c>
    </row>
    <row r="55" spans="1:19" ht="12">
      <c r="A55" s="262" t="s">
        <v>104</v>
      </c>
      <c r="B55" s="266">
        <v>14420</v>
      </c>
      <c r="C55" s="266">
        <v>15637</v>
      </c>
      <c r="D55" s="261">
        <v>10498</v>
      </c>
      <c r="E55" s="263">
        <v>11688</v>
      </c>
      <c r="F55" s="263">
        <v>11639</v>
      </c>
      <c r="G55" s="263">
        <v>13464</v>
      </c>
      <c r="H55" s="264">
        <f>((F55/E55)-1)*100</f>
        <v>-0.4192334017796062</v>
      </c>
      <c r="I55" s="264">
        <f>((G55/F55)-1)*100</f>
        <v>15.680041240656406</v>
      </c>
      <c r="K55" s="262" t="s">
        <v>104</v>
      </c>
      <c r="L55" s="266">
        <v>75</v>
      </c>
      <c r="M55" s="266">
        <v>85</v>
      </c>
      <c r="N55" s="261">
        <v>5265</v>
      </c>
      <c r="O55" s="263">
        <v>6477</v>
      </c>
      <c r="P55" s="263">
        <v>9514</v>
      </c>
      <c r="Q55" s="263">
        <v>14926</v>
      </c>
      <c r="R55" s="264">
        <f>((P55/O55)-1)*100</f>
        <v>46.88899181719932</v>
      </c>
      <c r="S55" s="264">
        <f>((Q55/P55)-1)*100</f>
        <v>56.88459112886272</v>
      </c>
    </row>
    <row r="56" spans="1:19" ht="12">
      <c r="A56" s="265" t="s">
        <v>105</v>
      </c>
      <c r="B56" s="266">
        <v>15685</v>
      </c>
      <c r="C56" s="266">
        <v>14011</v>
      </c>
      <c r="D56" s="261">
        <v>9566</v>
      </c>
      <c r="E56" s="266">
        <v>14579</v>
      </c>
      <c r="F56" s="266">
        <v>16001</v>
      </c>
      <c r="G56" s="266">
        <v>16401</v>
      </c>
      <c r="H56" s="267">
        <f aca="true" t="shared" si="1" ref="H56:I68">((F56/E56)-1)*100</f>
        <v>9.753755401605058</v>
      </c>
      <c r="I56" s="267">
        <f t="shared" si="1"/>
        <v>2.499843759765019</v>
      </c>
      <c r="K56" s="265" t="s">
        <v>105</v>
      </c>
      <c r="L56" s="266">
        <v>97</v>
      </c>
      <c r="M56" s="266">
        <v>75</v>
      </c>
      <c r="N56" s="261">
        <v>4824</v>
      </c>
      <c r="O56" s="266">
        <v>9524</v>
      </c>
      <c r="P56" s="266">
        <v>6734</v>
      </c>
      <c r="Q56" s="266">
        <f>89+12509</f>
        <v>12598</v>
      </c>
      <c r="R56" s="267">
        <f aca="true" t="shared" si="2" ref="R56:R68">((P56/O56)-1)*100</f>
        <v>-29.29441411171777</v>
      </c>
      <c r="S56" s="267">
        <f aca="true" t="shared" si="3" ref="S56:S64">((Q56/P56)-1)*100</f>
        <v>87.08048708048707</v>
      </c>
    </row>
    <row r="57" spans="1:19" ht="12">
      <c r="A57" s="265" t="s">
        <v>106</v>
      </c>
      <c r="B57" s="266">
        <v>20250</v>
      </c>
      <c r="C57" s="266">
        <v>26522</v>
      </c>
      <c r="D57" s="261">
        <v>17945</v>
      </c>
      <c r="E57" s="266">
        <v>19676</v>
      </c>
      <c r="F57" s="266">
        <v>26835</v>
      </c>
      <c r="G57" s="266">
        <v>21834</v>
      </c>
      <c r="H57" s="267">
        <f t="shared" si="1"/>
        <v>36.384427729213265</v>
      </c>
      <c r="I57" s="267">
        <f t="shared" si="1"/>
        <v>-18.636109558412517</v>
      </c>
      <c r="K57" s="265" t="s">
        <v>106</v>
      </c>
      <c r="L57" s="266">
        <v>143</v>
      </c>
      <c r="M57" s="266">
        <v>1147</v>
      </c>
      <c r="N57" s="261">
        <v>5885</v>
      </c>
      <c r="O57" s="266">
        <v>18810</v>
      </c>
      <c r="P57" s="266">
        <v>12438</v>
      </c>
      <c r="Q57" s="266">
        <f>437+8672</f>
        <v>9109</v>
      </c>
      <c r="R57" s="267">
        <f t="shared" si="2"/>
        <v>-33.875598086124405</v>
      </c>
      <c r="S57" s="267">
        <f t="shared" si="3"/>
        <v>-26.764753175751732</v>
      </c>
    </row>
    <row r="58" spans="1:19" ht="12">
      <c r="A58" s="265" t="s">
        <v>107</v>
      </c>
      <c r="B58" s="266">
        <v>40364</v>
      </c>
      <c r="C58" s="266">
        <v>40653</v>
      </c>
      <c r="D58" s="261">
        <v>37943</v>
      </c>
      <c r="E58" s="266">
        <v>38136</v>
      </c>
      <c r="F58" s="266">
        <v>39381</v>
      </c>
      <c r="G58" s="266">
        <v>47976</v>
      </c>
      <c r="H58" s="267">
        <f t="shared" si="1"/>
        <v>3.2646318439270017</v>
      </c>
      <c r="I58" s="267">
        <f t="shared" si="1"/>
        <v>21.82524567684925</v>
      </c>
      <c r="K58" s="265" t="s">
        <v>107</v>
      </c>
      <c r="L58" s="266">
        <v>79</v>
      </c>
      <c r="M58" s="266">
        <v>832</v>
      </c>
      <c r="N58" s="261">
        <v>3919</v>
      </c>
      <c r="O58" s="266">
        <v>9997</v>
      </c>
      <c r="P58" s="266">
        <v>21096</v>
      </c>
      <c r="Q58" s="266">
        <f>61+26853</f>
        <v>26914</v>
      </c>
      <c r="R58" s="267">
        <f t="shared" si="2"/>
        <v>111.02330699209762</v>
      </c>
      <c r="S58" s="267">
        <f t="shared" si="3"/>
        <v>27.578687902919974</v>
      </c>
    </row>
    <row r="59" spans="1:19" ht="12">
      <c r="A59" s="265" t="s">
        <v>108</v>
      </c>
      <c r="B59" s="266">
        <v>62986</v>
      </c>
      <c r="C59" s="266">
        <v>76288</v>
      </c>
      <c r="D59" s="261">
        <v>53349</v>
      </c>
      <c r="E59" s="266">
        <v>63463</v>
      </c>
      <c r="F59" s="266">
        <v>76453</v>
      </c>
      <c r="G59" s="266">
        <v>74463</v>
      </c>
      <c r="H59" s="267">
        <f t="shared" si="1"/>
        <v>20.468619510580965</v>
      </c>
      <c r="I59" s="267">
        <f t="shared" si="1"/>
        <v>-2.6029063607706737</v>
      </c>
      <c r="K59" s="265" t="s">
        <v>108</v>
      </c>
      <c r="L59" s="266">
        <v>8569</v>
      </c>
      <c r="M59" s="266">
        <v>8998</v>
      </c>
      <c r="N59" s="261">
        <v>10532</v>
      </c>
      <c r="O59" s="266">
        <v>18338</v>
      </c>
      <c r="P59" s="266">
        <v>37453</v>
      </c>
      <c r="Q59" s="266">
        <f>69+31266</f>
        <v>31335</v>
      </c>
      <c r="R59" s="267">
        <f t="shared" si="2"/>
        <v>104.23710328280076</v>
      </c>
      <c r="S59" s="267">
        <f t="shared" si="3"/>
        <v>-16.335140042186204</v>
      </c>
    </row>
    <row r="60" spans="1:19" ht="12">
      <c r="A60" s="265" t="s">
        <v>109</v>
      </c>
      <c r="B60" s="266">
        <v>73040</v>
      </c>
      <c r="C60" s="266">
        <v>83218</v>
      </c>
      <c r="D60" s="261">
        <v>71697</v>
      </c>
      <c r="E60" s="266">
        <v>84966</v>
      </c>
      <c r="F60" s="266">
        <v>100337</v>
      </c>
      <c r="G60" s="266">
        <v>91617</v>
      </c>
      <c r="H60" s="267">
        <f t="shared" si="1"/>
        <v>18.090765718051927</v>
      </c>
      <c r="I60" s="267">
        <f t="shared" si="1"/>
        <v>-8.690712299550519</v>
      </c>
      <c r="K60" s="265" t="s">
        <v>109</v>
      </c>
      <c r="L60" s="266">
        <v>13287</v>
      </c>
      <c r="M60" s="266">
        <v>13361</v>
      </c>
      <c r="N60" s="261">
        <v>17528</v>
      </c>
      <c r="O60" s="266">
        <v>45688</v>
      </c>
      <c r="P60" s="266">
        <v>35041</v>
      </c>
      <c r="Q60" s="266">
        <f>109+36550</f>
        <v>36659</v>
      </c>
      <c r="R60" s="267">
        <f t="shared" si="2"/>
        <v>-23.30371213447733</v>
      </c>
      <c r="S60" s="267">
        <f t="shared" si="3"/>
        <v>4.617448132188007</v>
      </c>
    </row>
    <row r="61" spans="1:19" ht="12">
      <c r="A61" s="265" t="s">
        <v>110</v>
      </c>
      <c r="B61" s="266">
        <v>123341</v>
      </c>
      <c r="C61" s="266">
        <v>141152</v>
      </c>
      <c r="D61" s="261">
        <v>111396</v>
      </c>
      <c r="E61" s="266">
        <v>123205</v>
      </c>
      <c r="F61" s="266">
        <v>134786</v>
      </c>
      <c r="G61" s="266">
        <v>129009</v>
      </c>
      <c r="H61" s="267">
        <f t="shared" si="1"/>
        <v>9.3997808530498</v>
      </c>
      <c r="I61" s="267">
        <f t="shared" si="1"/>
        <v>-4.2860534476874435</v>
      </c>
      <c r="K61" s="265" t="s">
        <v>110</v>
      </c>
      <c r="L61" s="266">
        <v>11458</v>
      </c>
      <c r="M61" s="266">
        <v>8693</v>
      </c>
      <c r="N61" s="261">
        <v>26443</v>
      </c>
      <c r="O61" s="266">
        <v>41076</v>
      </c>
      <c r="P61" s="266">
        <v>36153</v>
      </c>
      <c r="Q61" s="266">
        <f>135+35540</f>
        <v>35675</v>
      </c>
      <c r="R61" s="267">
        <f t="shared" si="2"/>
        <v>-11.985100788781766</v>
      </c>
      <c r="S61" s="267">
        <f t="shared" si="3"/>
        <v>-1.3221586037119981</v>
      </c>
    </row>
    <row r="62" spans="1:19" ht="12">
      <c r="A62" s="265" t="s">
        <v>111</v>
      </c>
      <c r="B62" s="266">
        <v>117074</v>
      </c>
      <c r="C62" s="266">
        <v>114481</v>
      </c>
      <c r="D62" s="261">
        <v>94745</v>
      </c>
      <c r="E62" s="266">
        <v>109010</v>
      </c>
      <c r="F62" s="266">
        <v>119217</v>
      </c>
      <c r="G62" s="266">
        <v>105494</v>
      </c>
      <c r="H62" s="267">
        <f t="shared" si="1"/>
        <v>9.36336115952665</v>
      </c>
      <c r="I62" s="267">
        <f t="shared" si="1"/>
        <v>-11.510942231393173</v>
      </c>
      <c r="K62" s="265" t="s">
        <v>111</v>
      </c>
      <c r="L62" s="266">
        <v>10473</v>
      </c>
      <c r="M62" s="266">
        <v>13436</v>
      </c>
      <c r="N62" s="261">
        <v>31504</v>
      </c>
      <c r="O62" s="266">
        <v>47112</v>
      </c>
      <c r="P62" s="266">
        <v>37121</v>
      </c>
      <c r="Q62" s="266">
        <f>89+34703</f>
        <v>34792</v>
      </c>
      <c r="R62" s="267">
        <f t="shared" si="2"/>
        <v>-21.206911190354894</v>
      </c>
      <c r="S62" s="267">
        <f t="shared" si="3"/>
        <v>-6.2740766681932065</v>
      </c>
    </row>
    <row r="63" spans="1:19" ht="12">
      <c r="A63" s="265" t="s">
        <v>112</v>
      </c>
      <c r="B63" s="266">
        <v>78598</v>
      </c>
      <c r="C63" s="266">
        <v>75650</v>
      </c>
      <c r="D63" s="261">
        <v>62055</v>
      </c>
      <c r="E63" s="266">
        <v>81618</v>
      </c>
      <c r="F63" s="266">
        <v>85156</v>
      </c>
      <c r="G63" s="266">
        <v>85984</v>
      </c>
      <c r="H63" s="267">
        <f t="shared" si="1"/>
        <v>4.33482810164425</v>
      </c>
      <c r="I63" s="267">
        <f>((G63/F63)-1)*100</f>
        <v>0.9723331297853299</v>
      </c>
      <c r="K63" s="265" t="s">
        <v>112</v>
      </c>
      <c r="L63" s="266">
        <v>14383</v>
      </c>
      <c r="M63" s="266">
        <v>9736</v>
      </c>
      <c r="N63" s="261">
        <v>33313</v>
      </c>
      <c r="O63" s="266">
        <v>40003</v>
      </c>
      <c r="P63" s="266">
        <v>41454</v>
      </c>
      <c r="Q63" s="266">
        <f>83+41120</f>
        <v>41203</v>
      </c>
      <c r="R63" s="267">
        <f t="shared" si="2"/>
        <v>3.6272279579031563</v>
      </c>
      <c r="S63" s="267">
        <f t="shared" si="3"/>
        <v>-0.6054904231196034</v>
      </c>
    </row>
    <row r="64" spans="1:19" ht="12">
      <c r="A64" s="265" t="s">
        <v>113</v>
      </c>
      <c r="B64" s="266">
        <v>54551</v>
      </c>
      <c r="C64" s="266">
        <v>52986</v>
      </c>
      <c r="D64" s="261">
        <v>39835</v>
      </c>
      <c r="E64" s="266">
        <v>49533</v>
      </c>
      <c r="F64" s="266">
        <v>52310</v>
      </c>
      <c r="G64" s="266">
        <f>'Giriş İstatistikleri'!E52</f>
        <v>20658</v>
      </c>
      <c r="H64" s="267">
        <f>((F64/E64)-1)*100</f>
        <v>5.606363434478023</v>
      </c>
      <c r="I64" s="267">
        <f>((G64/F64)-1)*100</f>
        <v>-60.508506977633346</v>
      </c>
      <c r="K64" s="265" t="s">
        <v>113</v>
      </c>
      <c r="L64" s="266">
        <v>11018</v>
      </c>
      <c r="M64" s="266">
        <v>10386</v>
      </c>
      <c r="N64" s="261">
        <v>32252</v>
      </c>
      <c r="O64" s="266">
        <v>41309</v>
      </c>
      <c r="P64" s="266">
        <v>52474</v>
      </c>
      <c r="Q64" s="266">
        <f>'Giriş İstatistikleri'!H52+'Giriş İstatistikleri'!J52</f>
        <v>17966</v>
      </c>
      <c r="R64" s="267">
        <f t="shared" si="2"/>
        <v>27.028008424314322</v>
      </c>
      <c r="S64" s="267">
        <f t="shared" si="3"/>
        <v>-65.76209170255746</v>
      </c>
    </row>
    <row r="65" spans="1:19" ht="12">
      <c r="A65" s="265" t="s">
        <v>114</v>
      </c>
      <c r="B65" s="266">
        <v>15277</v>
      </c>
      <c r="C65" s="266">
        <v>16217</v>
      </c>
      <c r="D65" s="261">
        <v>15652</v>
      </c>
      <c r="E65" s="266">
        <v>13813</v>
      </c>
      <c r="F65" s="266">
        <v>15444</v>
      </c>
      <c r="G65" s="266"/>
      <c r="H65" s="267">
        <f>((F65/E65)-1)*100</f>
        <v>11.807717367697101</v>
      </c>
      <c r="I65" s="267"/>
      <c r="K65" s="265" t="s">
        <v>114</v>
      </c>
      <c r="L65" s="266">
        <v>8612</v>
      </c>
      <c r="M65" s="266">
        <v>844</v>
      </c>
      <c r="N65" s="261">
        <v>9417</v>
      </c>
      <c r="O65" s="266">
        <v>9704</v>
      </c>
      <c r="P65" s="266">
        <v>21170</v>
      </c>
      <c r="Q65" s="266"/>
      <c r="R65" s="267">
        <f t="shared" si="2"/>
        <v>118.15746084089037</v>
      </c>
      <c r="S65" s="267"/>
    </row>
    <row r="66" spans="1:19" ht="12">
      <c r="A66" s="268" t="s">
        <v>115</v>
      </c>
      <c r="B66" s="266">
        <v>17647</v>
      </c>
      <c r="C66" s="266">
        <v>11422</v>
      </c>
      <c r="D66" s="261">
        <v>17271</v>
      </c>
      <c r="E66" s="269">
        <v>18881</v>
      </c>
      <c r="F66" s="269">
        <v>19874</v>
      </c>
      <c r="G66" s="266"/>
      <c r="H66" s="270">
        <f>((F66/E66)-1)*100</f>
        <v>5.2592553360521155</v>
      </c>
      <c r="I66" s="270"/>
      <c r="K66" s="268" t="s">
        <v>115</v>
      </c>
      <c r="L66" s="266">
        <v>132</v>
      </c>
      <c r="M66" s="266">
        <v>208</v>
      </c>
      <c r="N66" s="261">
        <v>3202</v>
      </c>
      <c r="O66" s="269">
        <v>175</v>
      </c>
      <c r="P66" s="269">
        <v>8194</v>
      </c>
      <c r="Q66" s="266"/>
      <c r="R66" s="270">
        <f t="shared" si="2"/>
        <v>4582.285714285715</v>
      </c>
      <c r="S66" s="270"/>
    </row>
    <row r="67" spans="1:19" ht="12">
      <c r="A67" s="271" t="s">
        <v>278</v>
      </c>
      <c r="B67" s="272">
        <f aca="true" t="shared" si="4" ref="B67:G67">SUM(B55:B64)</f>
        <v>600309</v>
      </c>
      <c r="C67" s="272">
        <f t="shared" si="4"/>
        <v>640598</v>
      </c>
      <c r="D67" s="272">
        <f t="shared" si="4"/>
        <v>509029</v>
      </c>
      <c r="E67" s="272">
        <f t="shared" si="4"/>
        <v>595874</v>
      </c>
      <c r="F67" s="272">
        <f t="shared" si="4"/>
        <v>662115</v>
      </c>
      <c r="G67" s="272">
        <f t="shared" si="4"/>
        <v>606900</v>
      </c>
      <c r="H67" s="274">
        <f>((F67/E67)-1)*100</f>
        <v>11.116611901173744</v>
      </c>
      <c r="I67" s="275">
        <f>((G67/F67)-1)*100</f>
        <v>-8.339185790987969</v>
      </c>
      <c r="K67" s="271" t="s">
        <v>278</v>
      </c>
      <c r="L67" s="272">
        <f aca="true" t="shared" si="5" ref="L67:Q67">SUM(L55:L64)</f>
        <v>69582</v>
      </c>
      <c r="M67" s="272">
        <f t="shared" si="5"/>
        <v>66749</v>
      </c>
      <c r="N67" s="272">
        <f t="shared" si="5"/>
        <v>171465</v>
      </c>
      <c r="O67" s="272">
        <f t="shared" si="5"/>
        <v>278334</v>
      </c>
      <c r="P67" s="272">
        <f t="shared" si="5"/>
        <v>289478</v>
      </c>
      <c r="Q67" s="272">
        <f t="shared" si="5"/>
        <v>261177</v>
      </c>
      <c r="R67" s="274">
        <f>((P67/O67)-1)*100</f>
        <v>4.003822745334751</v>
      </c>
      <c r="S67" s="275">
        <f>((Q67/P67)-1)*100</f>
        <v>-9.77656333123761</v>
      </c>
    </row>
    <row r="68" spans="1:19" ht="12">
      <c r="A68" s="271" t="s">
        <v>6</v>
      </c>
      <c r="B68" s="272">
        <f>SUM(B55:B66)</f>
        <v>633233</v>
      </c>
      <c r="C68" s="272">
        <f>SUM(C55:C66)</f>
        <v>668237</v>
      </c>
      <c r="D68" s="272">
        <f>SUM(D55:D66)</f>
        <v>541952</v>
      </c>
      <c r="E68" s="272">
        <f>SUM(E55:E66)</f>
        <v>628568</v>
      </c>
      <c r="F68" s="272">
        <f>SUM(F55:F66)</f>
        <v>697433</v>
      </c>
      <c r="G68" s="272"/>
      <c r="H68" s="275">
        <f t="shared" si="1"/>
        <v>10.955855213755704</v>
      </c>
      <c r="I68" s="275"/>
      <c r="K68" s="271" t="s">
        <v>6</v>
      </c>
      <c r="L68" s="272">
        <f>SUM(L55:L66)</f>
        <v>78326</v>
      </c>
      <c r="M68" s="278">
        <f>SUM(M55:M66)</f>
        <v>67801</v>
      </c>
      <c r="N68" s="272">
        <f>SUM(N55:N66)</f>
        <v>184084</v>
      </c>
      <c r="O68" s="272">
        <f>SUM(O55:O66)</f>
        <v>288213</v>
      </c>
      <c r="P68" s="272">
        <f>SUM(P55:P66)</f>
        <v>318842</v>
      </c>
      <c r="Q68" s="272"/>
      <c r="R68" s="275">
        <f t="shared" si="2"/>
        <v>10.627209737242937</v>
      </c>
      <c r="S68" s="275"/>
    </row>
    <row r="72" spans="2:19" ht="15">
      <c r="B72" s="379" t="s">
        <v>137</v>
      </c>
      <c r="C72" s="380"/>
      <c r="D72" s="380"/>
      <c r="E72" s="380"/>
      <c r="F72" s="380"/>
      <c r="G72" s="381"/>
      <c r="H72" s="377" t="s">
        <v>268</v>
      </c>
      <c r="I72" s="378"/>
      <c r="L72" s="379" t="s">
        <v>99</v>
      </c>
      <c r="M72" s="380"/>
      <c r="N72" s="380"/>
      <c r="O72" s="380"/>
      <c r="P72" s="380"/>
      <c r="Q72" s="381"/>
      <c r="R72" s="377" t="s">
        <v>268</v>
      </c>
      <c r="S72" s="378"/>
    </row>
    <row r="73" spans="2:19" ht="12">
      <c r="B73" s="271">
        <v>2004</v>
      </c>
      <c r="C73" s="271">
        <v>2005</v>
      </c>
      <c r="D73" s="271">
        <v>2006</v>
      </c>
      <c r="E73" s="262">
        <v>2007</v>
      </c>
      <c r="F73" s="262">
        <v>2008</v>
      </c>
      <c r="G73" s="262">
        <v>2009</v>
      </c>
      <c r="H73" s="262" t="s">
        <v>260</v>
      </c>
      <c r="I73" s="262" t="s">
        <v>261</v>
      </c>
      <c r="L73" s="271">
        <v>2004</v>
      </c>
      <c r="M73" s="271">
        <v>2005</v>
      </c>
      <c r="N73" s="271">
        <v>2006</v>
      </c>
      <c r="O73" s="262">
        <v>2007</v>
      </c>
      <c r="P73" s="262">
        <v>2008</v>
      </c>
      <c r="Q73" s="262">
        <v>2009</v>
      </c>
      <c r="R73" s="262" t="s">
        <v>260</v>
      </c>
      <c r="S73" s="262" t="s">
        <v>261</v>
      </c>
    </row>
    <row r="74" spans="1:19" ht="12">
      <c r="A74" s="262" t="s">
        <v>104</v>
      </c>
      <c r="B74" s="266"/>
      <c r="C74" s="266"/>
      <c r="D74" s="261"/>
      <c r="E74" s="263"/>
      <c r="F74" s="263"/>
      <c r="G74" s="263">
        <v>83</v>
      </c>
      <c r="H74" s="264"/>
      <c r="I74" s="304" t="s">
        <v>274</v>
      </c>
      <c r="K74" s="262" t="s">
        <v>104</v>
      </c>
      <c r="L74" s="266">
        <v>352</v>
      </c>
      <c r="M74" s="266">
        <v>632</v>
      </c>
      <c r="N74" s="261">
        <v>981</v>
      </c>
      <c r="O74" s="263">
        <v>1210</v>
      </c>
      <c r="P74" s="263">
        <v>1575</v>
      </c>
      <c r="Q74" s="263">
        <v>939</v>
      </c>
      <c r="R74" s="264">
        <f>((P74/O74)-1)*100</f>
        <v>30.165289256198346</v>
      </c>
      <c r="S74" s="264">
        <f>((Q74/P74)-1)*100</f>
        <v>-40.38095238095239</v>
      </c>
    </row>
    <row r="75" spans="1:19" ht="12">
      <c r="A75" s="265" t="s">
        <v>105</v>
      </c>
      <c r="B75" s="266"/>
      <c r="C75" s="266"/>
      <c r="D75" s="261"/>
      <c r="E75" s="266"/>
      <c r="F75" s="266">
        <v>164</v>
      </c>
      <c r="G75" s="266">
        <v>99</v>
      </c>
      <c r="H75" s="267"/>
      <c r="I75" s="267">
        <f aca="true" t="shared" si="6" ref="I75:I83">((G75/F75)-1)*100</f>
        <v>-39.63414634146341</v>
      </c>
      <c r="K75" s="265" t="s">
        <v>105</v>
      </c>
      <c r="L75" s="266">
        <v>369</v>
      </c>
      <c r="M75" s="266">
        <v>518</v>
      </c>
      <c r="N75" s="261">
        <v>451</v>
      </c>
      <c r="O75" s="266">
        <v>941</v>
      </c>
      <c r="P75" s="266">
        <v>1093</v>
      </c>
      <c r="Q75" s="266">
        <v>1060</v>
      </c>
      <c r="R75" s="267">
        <f aca="true" t="shared" si="7" ref="R75:R87">((P75/O75)-1)*100</f>
        <v>16.15302869287991</v>
      </c>
      <c r="S75" s="267">
        <f aca="true" t="shared" si="8" ref="S75:S83">((Q75/P75)-1)*100</f>
        <v>-3.019213174748403</v>
      </c>
    </row>
    <row r="76" spans="1:19" ht="12">
      <c r="A76" s="265" t="s">
        <v>106</v>
      </c>
      <c r="B76" s="266"/>
      <c r="C76" s="266"/>
      <c r="D76" s="261"/>
      <c r="E76" s="266"/>
      <c r="F76" s="266">
        <v>117</v>
      </c>
      <c r="G76" s="266">
        <v>143</v>
      </c>
      <c r="H76" s="267"/>
      <c r="I76" s="267">
        <f t="shared" si="6"/>
        <v>22.222222222222232</v>
      </c>
      <c r="K76" s="265" t="s">
        <v>106</v>
      </c>
      <c r="L76" s="266">
        <v>721</v>
      </c>
      <c r="M76" s="266">
        <v>1499</v>
      </c>
      <c r="N76" s="261">
        <v>1092</v>
      </c>
      <c r="O76" s="266">
        <v>1886</v>
      </c>
      <c r="P76" s="266">
        <v>2254</v>
      </c>
      <c r="Q76" s="266">
        <v>1385</v>
      </c>
      <c r="R76" s="267">
        <f t="shared" si="7"/>
        <v>19.512195121951216</v>
      </c>
      <c r="S76" s="267">
        <f t="shared" si="8"/>
        <v>-38.55368234250221</v>
      </c>
    </row>
    <row r="77" spans="1:19" ht="12">
      <c r="A77" s="265" t="s">
        <v>107</v>
      </c>
      <c r="B77" s="266"/>
      <c r="C77" s="266"/>
      <c r="D77" s="261"/>
      <c r="E77" s="266"/>
      <c r="F77" s="266">
        <v>115</v>
      </c>
      <c r="G77" s="266">
        <v>93</v>
      </c>
      <c r="H77" s="267"/>
      <c r="I77" s="267">
        <f t="shared" si="6"/>
        <v>-19.130434782608695</v>
      </c>
      <c r="K77" s="265" t="s">
        <v>107</v>
      </c>
      <c r="L77" s="266">
        <v>1839</v>
      </c>
      <c r="M77" s="266">
        <v>2437</v>
      </c>
      <c r="N77" s="261">
        <v>2353</v>
      </c>
      <c r="O77" s="266">
        <v>2899</v>
      </c>
      <c r="P77" s="266">
        <v>2879</v>
      </c>
      <c r="Q77" s="266">
        <v>2450</v>
      </c>
      <c r="R77" s="267">
        <f t="shared" si="7"/>
        <v>-0.6898930665746761</v>
      </c>
      <c r="S77" s="267">
        <f t="shared" si="8"/>
        <v>-14.901007294199376</v>
      </c>
    </row>
    <row r="78" spans="1:19" ht="12">
      <c r="A78" s="265" t="s">
        <v>108</v>
      </c>
      <c r="B78" s="266"/>
      <c r="C78" s="266"/>
      <c r="D78" s="261"/>
      <c r="E78" s="266"/>
      <c r="F78" s="266">
        <v>185</v>
      </c>
      <c r="G78" s="266">
        <v>301</v>
      </c>
      <c r="H78" s="267"/>
      <c r="I78" s="267">
        <f t="shared" si="6"/>
        <v>62.70270270270271</v>
      </c>
      <c r="K78" s="265" t="s">
        <v>108</v>
      </c>
      <c r="L78" s="266">
        <v>2514</v>
      </c>
      <c r="M78" s="266">
        <v>3733</v>
      </c>
      <c r="N78" s="261">
        <v>2991</v>
      </c>
      <c r="O78" s="266">
        <v>3509</v>
      </c>
      <c r="P78" s="266">
        <v>3905</v>
      </c>
      <c r="Q78" s="266">
        <v>3639</v>
      </c>
      <c r="R78" s="267">
        <f t="shared" si="7"/>
        <v>11.285266457680244</v>
      </c>
      <c r="S78" s="267">
        <f t="shared" si="8"/>
        <v>-6.811779769526249</v>
      </c>
    </row>
    <row r="79" spans="1:19" ht="12">
      <c r="A79" s="265" t="s">
        <v>109</v>
      </c>
      <c r="B79" s="266"/>
      <c r="C79" s="266"/>
      <c r="D79" s="261"/>
      <c r="E79" s="266"/>
      <c r="F79" s="266">
        <v>183</v>
      </c>
      <c r="G79" s="266">
        <v>282</v>
      </c>
      <c r="H79" s="267"/>
      <c r="I79" s="267">
        <f t="shared" si="6"/>
        <v>54.0983606557377</v>
      </c>
      <c r="K79" s="265" t="s">
        <v>109</v>
      </c>
      <c r="L79" s="266">
        <v>4219</v>
      </c>
      <c r="M79" s="266">
        <v>6399</v>
      </c>
      <c r="N79" s="261">
        <v>4614</v>
      </c>
      <c r="O79" s="266">
        <v>3534</v>
      </c>
      <c r="P79" s="266">
        <v>4892</v>
      </c>
      <c r="Q79" s="266">
        <v>6198</v>
      </c>
      <c r="R79" s="267">
        <f t="shared" si="7"/>
        <v>38.426711941143175</v>
      </c>
      <c r="S79" s="267">
        <f t="shared" si="8"/>
        <v>26.696647587898603</v>
      </c>
    </row>
    <row r="80" spans="1:19" ht="12">
      <c r="A80" s="265" t="s">
        <v>110</v>
      </c>
      <c r="B80" s="266"/>
      <c r="C80" s="266"/>
      <c r="D80" s="261"/>
      <c r="E80" s="266"/>
      <c r="F80" s="266">
        <v>212</v>
      </c>
      <c r="G80" s="266">
        <v>254</v>
      </c>
      <c r="H80" s="267"/>
      <c r="I80" s="267">
        <f t="shared" si="6"/>
        <v>19.811320754716988</v>
      </c>
      <c r="K80" s="265" t="s">
        <v>110</v>
      </c>
      <c r="L80" s="266">
        <v>12603</v>
      </c>
      <c r="M80" s="266">
        <v>13572</v>
      </c>
      <c r="N80" s="261">
        <v>11090</v>
      </c>
      <c r="O80" s="266">
        <v>8675</v>
      </c>
      <c r="P80" s="266">
        <v>8793</v>
      </c>
      <c r="Q80" s="266">
        <v>9262</v>
      </c>
      <c r="R80" s="267">
        <f t="shared" si="7"/>
        <v>1.360230547550434</v>
      </c>
      <c r="S80" s="267">
        <f t="shared" si="8"/>
        <v>5.333788240645965</v>
      </c>
    </row>
    <row r="81" spans="1:19" ht="12">
      <c r="A81" s="265" t="s">
        <v>111</v>
      </c>
      <c r="B81" s="266"/>
      <c r="C81" s="266"/>
      <c r="D81" s="261"/>
      <c r="E81" s="266"/>
      <c r="F81" s="266">
        <v>165</v>
      </c>
      <c r="G81" s="266">
        <v>168</v>
      </c>
      <c r="H81" s="267"/>
      <c r="I81" s="267">
        <f t="shared" si="6"/>
        <v>1.8181818181818077</v>
      </c>
      <c r="K81" s="265" t="s">
        <v>111</v>
      </c>
      <c r="L81" s="266">
        <v>10857</v>
      </c>
      <c r="M81" s="266">
        <v>10975</v>
      </c>
      <c r="N81" s="261">
        <v>9641</v>
      </c>
      <c r="O81" s="266">
        <v>9341</v>
      </c>
      <c r="P81" s="266">
        <v>9864</v>
      </c>
      <c r="Q81" s="266">
        <v>9688</v>
      </c>
      <c r="R81" s="267">
        <f t="shared" si="7"/>
        <v>5.598972272775926</v>
      </c>
      <c r="S81" s="267">
        <f t="shared" si="8"/>
        <v>-1.7842660178426617</v>
      </c>
    </row>
    <row r="82" spans="1:19" ht="12">
      <c r="A82" s="265" t="s">
        <v>112</v>
      </c>
      <c r="B82" s="266"/>
      <c r="C82" s="266"/>
      <c r="D82" s="261"/>
      <c r="E82" s="266"/>
      <c r="F82" s="266">
        <v>161</v>
      </c>
      <c r="G82" s="266">
        <v>137</v>
      </c>
      <c r="H82" s="267"/>
      <c r="I82" s="267">
        <f t="shared" si="6"/>
        <v>-14.90683229813664</v>
      </c>
      <c r="K82" s="265" t="s">
        <v>112</v>
      </c>
      <c r="L82" s="266">
        <v>4040</v>
      </c>
      <c r="M82" s="266">
        <v>4745</v>
      </c>
      <c r="N82" s="261">
        <v>3200</v>
      </c>
      <c r="O82" s="266">
        <v>3878</v>
      </c>
      <c r="P82" s="266">
        <v>4125</v>
      </c>
      <c r="Q82" s="266">
        <v>4881</v>
      </c>
      <c r="R82" s="267">
        <f t="shared" si="7"/>
        <v>6.369262506446627</v>
      </c>
      <c r="S82" s="267">
        <f t="shared" si="8"/>
        <v>18.327272727272724</v>
      </c>
    </row>
    <row r="83" spans="1:19" ht="12">
      <c r="A83" s="265" t="s">
        <v>113</v>
      </c>
      <c r="B83" s="266"/>
      <c r="C83" s="266"/>
      <c r="D83" s="261"/>
      <c r="E83" s="266"/>
      <c r="F83" s="266">
        <v>116</v>
      </c>
      <c r="G83" s="266">
        <f>'Giriş İstatistikleri'!K52</f>
        <v>194</v>
      </c>
      <c r="H83" s="267"/>
      <c r="I83" s="267">
        <f t="shared" si="6"/>
        <v>67.24137931034481</v>
      </c>
      <c r="K83" s="265" t="s">
        <v>113</v>
      </c>
      <c r="L83" s="266">
        <v>3285</v>
      </c>
      <c r="M83" s="266">
        <v>2482</v>
      </c>
      <c r="N83" s="261">
        <v>1744</v>
      </c>
      <c r="O83" s="266">
        <v>2586</v>
      </c>
      <c r="P83" s="266">
        <v>3137</v>
      </c>
      <c r="Q83" s="266">
        <f>'Giriş İstatistikleri'!N52</f>
        <v>1250</v>
      </c>
      <c r="R83" s="267">
        <f t="shared" si="7"/>
        <v>21.30703789636503</v>
      </c>
      <c r="S83" s="267">
        <f t="shared" si="8"/>
        <v>-60.15301243226012</v>
      </c>
    </row>
    <row r="84" spans="1:19" ht="12">
      <c r="A84" s="265" t="s">
        <v>114</v>
      </c>
      <c r="B84" s="266"/>
      <c r="C84" s="266"/>
      <c r="D84" s="261"/>
      <c r="E84" s="266"/>
      <c r="F84" s="266">
        <v>86</v>
      </c>
      <c r="G84" s="266"/>
      <c r="H84" s="267"/>
      <c r="I84" s="267"/>
      <c r="K84" s="265" t="s">
        <v>114</v>
      </c>
      <c r="L84" s="266">
        <v>1060</v>
      </c>
      <c r="M84" s="266">
        <v>825</v>
      </c>
      <c r="N84" s="261">
        <v>1335</v>
      </c>
      <c r="O84" s="266">
        <v>1287</v>
      </c>
      <c r="P84" s="266">
        <v>1228</v>
      </c>
      <c r="Q84" s="266"/>
      <c r="R84" s="267">
        <f t="shared" si="7"/>
        <v>-4.584304584304588</v>
      </c>
      <c r="S84" s="267"/>
    </row>
    <row r="85" spans="1:19" ht="12">
      <c r="A85" s="268" t="s">
        <v>115</v>
      </c>
      <c r="B85" s="266"/>
      <c r="C85" s="266"/>
      <c r="D85" s="261"/>
      <c r="E85" s="269"/>
      <c r="F85" s="269">
        <v>179</v>
      </c>
      <c r="G85" s="266"/>
      <c r="H85" s="270"/>
      <c r="I85" s="270"/>
      <c r="K85" s="268" t="s">
        <v>115</v>
      </c>
      <c r="L85" s="266">
        <v>627</v>
      </c>
      <c r="M85" s="266">
        <v>719</v>
      </c>
      <c r="N85" s="261">
        <v>1147</v>
      </c>
      <c r="O85" s="269">
        <v>1253</v>
      </c>
      <c r="P85" s="269">
        <v>799</v>
      </c>
      <c r="Q85" s="266"/>
      <c r="R85" s="270">
        <f t="shared" si="7"/>
        <v>-36.23304070231445</v>
      </c>
      <c r="S85" s="270"/>
    </row>
    <row r="86" spans="1:19" ht="12">
      <c r="A86" s="271" t="s">
        <v>278</v>
      </c>
      <c r="B86" s="272">
        <f>SUM(B74:B82)</f>
        <v>0</v>
      </c>
      <c r="C86" s="278">
        <f>SUM(C74:C82)</f>
        <v>0</v>
      </c>
      <c r="D86" s="272"/>
      <c r="E86" s="272">
        <f>SUM(E74:E82)</f>
        <v>0</v>
      </c>
      <c r="F86" s="273">
        <f>SUM(F74:F83)</f>
        <v>1418</v>
      </c>
      <c r="G86" s="273">
        <f>SUM(G74:G83)</f>
        <v>1754</v>
      </c>
      <c r="H86" s="274"/>
      <c r="I86" s="275">
        <f>((G86/F86)-1)*100</f>
        <v>23.695345557122714</v>
      </c>
      <c r="K86" s="271" t="s">
        <v>278</v>
      </c>
      <c r="L86" s="272">
        <f aca="true" t="shared" si="9" ref="L86:Q86">SUM(L74:L83)</f>
        <v>40799</v>
      </c>
      <c r="M86" s="272">
        <f t="shared" si="9"/>
        <v>46992</v>
      </c>
      <c r="N86" s="272">
        <f t="shared" si="9"/>
        <v>38157</v>
      </c>
      <c r="O86" s="272">
        <f t="shared" si="9"/>
        <v>38459</v>
      </c>
      <c r="P86" s="272">
        <f t="shared" si="9"/>
        <v>42517</v>
      </c>
      <c r="Q86" s="272">
        <f t="shared" si="9"/>
        <v>40752</v>
      </c>
      <c r="R86" s="274">
        <f t="shared" si="7"/>
        <v>10.551496398762318</v>
      </c>
      <c r="S86" s="275">
        <f>((Q86/P86)-1)*100</f>
        <v>-4.151280664204904</v>
      </c>
    </row>
    <row r="87" spans="1:19" ht="12">
      <c r="A87" s="271" t="s">
        <v>6</v>
      </c>
      <c r="B87" s="272">
        <f>SUM(B74:B85)</f>
        <v>0</v>
      </c>
      <c r="C87" s="278">
        <f>SUM(C74:C85)</f>
        <v>0</v>
      </c>
      <c r="D87" s="271"/>
      <c r="E87" s="272">
        <f>SUM(E74:E85)</f>
        <v>0</v>
      </c>
      <c r="F87" s="272">
        <f>SUM(F74:F85)</f>
        <v>1683</v>
      </c>
      <c r="G87" s="272"/>
      <c r="H87" s="275"/>
      <c r="I87" s="275"/>
      <c r="K87" s="271" t="s">
        <v>6</v>
      </c>
      <c r="L87" s="272">
        <f>SUM(L74:L85)</f>
        <v>42486</v>
      </c>
      <c r="M87" s="278">
        <f>SUM(M74:M85)</f>
        <v>48536</v>
      </c>
      <c r="N87" s="272">
        <f>SUM(N74:N85)</f>
        <v>40639</v>
      </c>
      <c r="O87" s="272">
        <f>SUM(O74:O85)</f>
        <v>40999</v>
      </c>
      <c r="P87" s="272">
        <f>SUM(P74:P85)</f>
        <v>44544</v>
      </c>
      <c r="Q87" s="272"/>
      <c r="R87" s="275">
        <f t="shared" si="7"/>
        <v>8.646552354935476</v>
      </c>
      <c r="S87" s="275"/>
    </row>
    <row r="90" spans="2:19" ht="15">
      <c r="B90" s="379" t="s">
        <v>271</v>
      </c>
      <c r="C90" s="380"/>
      <c r="D90" s="380"/>
      <c r="E90" s="380"/>
      <c r="F90" s="380"/>
      <c r="G90" s="381"/>
      <c r="H90" s="377" t="s">
        <v>268</v>
      </c>
      <c r="I90" s="378"/>
      <c r="L90" s="379" t="s">
        <v>272</v>
      </c>
      <c r="M90" s="380"/>
      <c r="N90" s="380"/>
      <c r="O90" s="380"/>
      <c r="P90" s="380"/>
      <c r="Q90" s="381"/>
      <c r="R90" s="377" t="s">
        <v>268</v>
      </c>
      <c r="S90" s="378"/>
    </row>
    <row r="91" spans="2:19" ht="12">
      <c r="B91" s="271">
        <v>2004</v>
      </c>
      <c r="C91" s="271">
        <v>2005</v>
      </c>
      <c r="D91" s="271">
        <v>2006</v>
      </c>
      <c r="E91" s="262">
        <v>2007</v>
      </c>
      <c r="F91" s="262">
        <v>2008</v>
      </c>
      <c r="G91" s="262">
        <v>2009</v>
      </c>
      <c r="H91" s="262" t="s">
        <v>260</v>
      </c>
      <c r="I91" s="262" t="s">
        <v>261</v>
      </c>
      <c r="L91" s="271">
        <v>2004</v>
      </c>
      <c r="M91" s="271">
        <v>2005</v>
      </c>
      <c r="N91" s="271">
        <v>2006</v>
      </c>
      <c r="O91" s="262">
        <v>2007</v>
      </c>
      <c r="P91" s="262">
        <v>2008</v>
      </c>
      <c r="Q91" s="262">
        <v>2009</v>
      </c>
      <c r="R91" s="262" t="s">
        <v>260</v>
      </c>
      <c r="S91" s="262" t="s">
        <v>261</v>
      </c>
    </row>
    <row r="92" spans="1:19" ht="12">
      <c r="A92" s="262" t="s">
        <v>104</v>
      </c>
      <c r="B92" s="266">
        <v>5</v>
      </c>
      <c r="C92" s="266"/>
      <c r="D92" s="261">
        <v>0</v>
      </c>
      <c r="E92" s="263">
        <v>100</v>
      </c>
      <c r="F92" s="263">
        <v>57</v>
      </c>
      <c r="G92" s="263">
        <v>45</v>
      </c>
      <c r="H92" s="264">
        <f>((F92/E92)-1)*100</f>
        <v>-43.00000000000001</v>
      </c>
      <c r="I92" s="264">
        <f>((G92/F92)-1)*100</f>
        <v>-21.052631578947366</v>
      </c>
      <c r="K92" s="262" t="s">
        <v>104</v>
      </c>
      <c r="L92" s="266"/>
      <c r="M92" s="266"/>
      <c r="N92" s="261"/>
      <c r="O92" s="263"/>
      <c r="P92" s="263"/>
      <c r="Q92" s="263"/>
      <c r="R92" s="304" t="s">
        <v>274</v>
      </c>
      <c r="S92" s="304" t="s">
        <v>274</v>
      </c>
    </row>
    <row r="93" spans="1:19" ht="12">
      <c r="A93" s="265" t="s">
        <v>105</v>
      </c>
      <c r="B93" s="266">
        <v>3</v>
      </c>
      <c r="C93" s="266">
        <v>1</v>
      </c>
      <c r="D93" s="261">
        <v>1</v>
      </c>
      <c r="E93" s="266">
        <v>1</v>
      </c>
      <c r="F93" s="266">
        <v>54</v>
      </c>
      <c r="G93" s="266">
        <v>53</v>
      </c>
      <c r="H93" s="267">
        <f aca="true" t="shared" si="10" ref="H93:H105">((F93/E93)-1)*100</f>
        <v>5300</v>
      </c>
      <c r="I93" s="267">
        <f aca="true" t="shared" si="11" ref="I93:I101">((G93/F93)-1)*100</f>
        <v>-1.851851851851849</v>
      </c>
      <c r="K93" s="265" t="s">
        <v>105</v>
      </c>
      <c r="L93" s="266"/>
      <c r="M93" s="266"/>
      <c r="N93" s="261"/>
      <c r="O93" s="266"/>
      <c r="P93" s="266"/>
      <c r="Q93" s="266"/>
      <c r="R93" s="305" t="s">
        <v>274</v>
      </c>
      <c r="S93" s="305" t="s">
        <v>274</v>
      </c>
    </row>
    <row r="94" spans="1:19" ht="12">
      <c r="A94" s="265" t="s">
        <v>106</v>
      </c>
      <c r="B94" s="266">
        <v>4</v>
      </c>
      <c r="C94" s="266"/>
      <c r="D94" s="261">
        <v>500</v>
      </c>
      <c r="E94" s="266">
        <f>117+401</f>
        <v>518</v>
      </c>
      <c r="F94" s="266">
        <v>867</v>
      </c>
      <c r="G94" s="266">
        <f>37+684</f>
        <v>721</v>
      </c>
      <c r="H94" s="267">
        <f t="shared" si="10"/>
        <v>67.37451737451738</v>
      </c>
      <c r="I94" s="267">
        <f t="shared" si="11"/>
        <v>-16.839677047289502</v>
      </c>
      <c r="K94" s="265" t="s">
        <v>106</v>
      </c>
      <c r="L94" s="266"/>
      <c r="M94" s="266"/>
      <c r="N94" s="261"/>
      <c r="O94" s="266"/>
      <c r="P94" s="266"/>
      <c r="Q94" s="266"/>
      <c r="R94" s="305" t="s">
        <v>274</v>
      </c>
      <c r="S94" s="305" t="s">
        <v>274</v>
      </c>
    </row>
    <row r="95" spans="1:19" ht="12">
      <c r="A95" s="265" t="s">
        <v>107</v>
      </c>
      <c r="B95" s="266">
        <v>205</v>
      </c>
      <c r="C95" s="266">
        <v>513</v>
      </c>
      <c r="D95" s="261">
        <v>2</v>
      </c>
      <c r="E95" s="266">
        <f>79+153</f>
        <v>232</v>
      </c>
      <c r="F95" s="266">
        <v>261</v>
      </c>
      <c r="G95" s="266">
        <f>87+130</f>
        <v>217</v>
      </c>
      <c r="H95" s="267">
        <f t="shared" si="10"/>
        <v>12.5</v>
      </c>
      <c r="I95" s="267">
        <f t="shared" si="11"/>
        <v>-16.858237547892717</v>
      </c>
      <c r="K95" s="265" t="s">
        <v>107</v>
      </c>
      <c r="L95" s="266"/>
      <c r="M95" s="266"/>
      <c r="N95" s="261"/>
      <c r="O95" s="266"/>
      <c r="P95" s="266"/>
      <c r="Q95" s="266"/>
      <c r="R95" s="305" t="s">
        <v>274</v>
      </c>
      <c r="S95" s="305" t="s">
        <v>274</v>
      </c>
    </row>
    <row r="96" spans="1:19" ht="12">
      <c r="A96" s="265" t="s">
        <v>108</v>
      </c>
      <c r="B96" s="266"/>
      <c r="C96" s="266">
        <v>12</v>
      </c>
      <c r="D96" s="261">
        <v>194</v>
      </c>
      <c r="E96" s="266">
        <f>326+707</f>
        <v>1033</v>
      </c>
      <c r="F96" s="266">
        <v>1046</v>
      </c>
      <c r="G96" s="266">
        <f>175+391</f>
        <v>566</v>
      </c>
      <c r="H96" s="267">
        <f t="shared" si="10"/>
        <v>1.2584704743465736</v>
      </c>
      <c r="I96" s="267">
        <f t="shared" si="11"/>
        <v>-45.88910133843213</v>
      </c>
      <c r="K96" s="265" t="s">
        <v>108</v>
      </c>
      <c r="L96" s="266"/>
      <c r="M96" s="266"/>
      <c r="N96" s="261"/>
      <c r="O96" s="266"/>
      <c r="P96" s="266"/>
      <c r="Q96" s="266"/>
      <c r="R96" s="305" t="s">
        <v>274</v>
      </c>
      <c r="S96" s="305" t="s">
        <v>274</v>
      </c>
    </row>
    <row r="97" spans="1:19" ht="12">
      <c r="A97" s="265" t="s">
        <v>109</v>
      </c>
      <c r="B97" s="266">
        <v>1823</v>
      </c>
      <c r="C97" s="266">
        <v>429</v>
      </c>
      <c r="D97" s="261">
        <v>544</v>
      </c>
      <c r="E97" s="266">
        <f>126+1440</f>
        <v>1566</v>
      </c>
      <c r="F97" s="266">
        <v>538</v>
      </c>
      <c r="G97" s="266">
        <f>551+1530</f>
        <v>2081</v>
      </c>
      <c r="H97" s="267">
        <f t="shared" si="10"/>
        <v>-65.64495530012772</v>
      </c>
      <c r="I97" s="267">
        <f t="shared" si="11"/>
        <v>286.80297397769516</v>
      </c>
      <c r="K97" s="265" t="s">
        <v>109</v>
      </c>
      <c r="L97" s="266"/>
      <c r="M97" s="266"/>
      <c r="N97" s="261"/>
      <c r="O97" s="266"/>
      <c r="P97" s="266"/>
      <c r="Q97" s="266">
        <v>38</v>
      </c>
      <c r="R97" s="305" t="s">
        <v>274</v>
      </c>
      <c r="S97" s="305" t="s">
        <v>274</v>
      </c>
    </row>
    <row r="98" spans="1:19" ht="12">
      <c r="A98" s="265" t="s">
        <v>110</v>
      </c>
      <c r="B98" s="266">
        <v>2913</v>
      </c>
      <c r="C98" s="266">
        <v>578</v>
      </c>
      <c r="D98" s="261">
        <v>1177</v>
      </c>
      <c r="E98" s="266">
        <f>110+1457</f>
        <v>1567</v>
      </c>
      <c r="F98" s="266">
        <v>2441</v>
      </c>
      <c r="G98" s="266">
        <f>645+1590</f>
        <v>2235</v>
      </c>
      <c r="H98" s="267">
        <f t="shared" si="10"/>
        <v>55.77536694320357</v>
      </c>
      <c r="I98" s="267">
        <f t="shared" si="11"/>
        <v>-8.439164276935685</v>
      </c>
      <c r="K98" s="265" t="s">
        <v>110</v>
      </c>
      <c r="L98" s="266"/>
      <c r="M98" s="266"/>
      <c r="N98" s="261"/>
      <c r="O98" s="266"/>
      <c r="P98" s="266"/>
      <c r="Q98" s="266">
        <v>96</v>
      </c>
      <c r="R98" s="305" t="s">
        <v>274</v>
      </c>
      <c r="S98" s="305" t="s">
        <v>274</v>
      </c>
    </row>
    <row r="99" spans="1:19" ht="12">
      <c r="A99" s="265" t="s">
        <v>111</v>
      </c>
      <c r="B99" s="266">
        <v>1435</v>
      </c>
      <c r="C99" s="266">
        <v>211</v>
      </c>
      <c r="D99" s="261">
        <v>1817</v>
      </c>
      <c r="E99" s="266">
        <v>2544</v>
      </c>
      <c r="F99" s="266">
        <v>485</v>
      </c>
      <c r="G99" s="266">
        <f>515+2437</f>
        <v>2952</v>
      </c>
      <c r="H99" s="267">
        <f t="shared" si="10"/>
        <v>-80.93553459119497</v>
      </c>
      <c r="I99" s="267">
        <f t="shared" si="11"/>
        <v>508.659793814433</v>
      </c>
      <c r="K99" s="265" t="s">
        <v>111</v>
      </c>
      <c r="L99" s="266"/>
      <c r="M99" s="266"/>
      <c r="N99" s="261"/>
      <c r="O99" s="266"/>
      <c r="P99" s="266"/>
      <c r="Q99" s="266">
        <v>131</v>
      </c>
      <c r="R99" s="305" t="s">
        <v>274</v>
      </c>
      <c r="S99" s="305" t="s">
        <v>274</v>
      </c>
    </row>
    <row r="100" spans="1:19" ht="12">
      <c r="A100" s="265" t="s">
        <v>112</v>
      </c>
      <c r="B100" s="266">
        <v>1014</v>
      </c>
      <c r="C100" s="266">
        <v>383</v>
      </c>
      <c r="D100" s="261">
        <v>2175</v>
      </c>
      <c r="E100" s="266">
        <f>858+1210</f>
        <v>2068</v>
      </c>
      <c r="F100" s="266">
        <f>234+425</f>
        <v>659</v>
      </c>
      <c r="G100" s="266">
        <f>601+1685</f>
        <v>2286</v>
      </c>
      <c r="H100" s="267">
        <f t="shared" si="10"/>
        <v>-68.13346228239845</v>
      </c>
      <c r="I100" s="267">
        <f t="shared" si="11"/>
        <v>246.88922610015175</v>
      </c>
      <c r="K100" s="265" t="s">
        <v>112</v>
      </c>
      <c r="L100" s="266"/>
      <c r="M100" s="266"/>
      <c r="N100" s="261"/>
      <c r="O100" s="266"/>
      <c r="P100" s="266"/>
      <c r="Q100" s="266">
        <v>23</v>
      </c>
      <c r="R100" s="305" t="s">
        <v>274</v>
      </c>
      <c r="S100" s="305" t="s">
        <v>274</v>
      </c>
    </row>
    <row r="101" spans="1:19" ht="12">
      <c r="A101" s="265" t="s">
        <v>113</v>
      </c>
      <c r="B101" s="266">
        <v>1294</v>
      </c>
      <c r="C101" s="266">
        <v>1905</v>
      </c>
      <c r="D101" s="261">
        <v>1156</v>
      </c>
      <c r="E101" s="266">
        <f>143+2335</f>
        <v>2478</v>
      </c>
      <c r="F101" s="266">
        <f>210+67</f>
        <v>277</v>
      </c>
      <c r="G101" s="266">
        <f>'Giriş İstatistikleri'!Q52+'Giriş İstatistikleri'!S52</f>
        <v>2149</v>
      </c>
      <c r="H101" s="267">
        <f t="shared" si="10"/>
        <v>-88.82163034705408</v>
      </c>
      <c r="I101" s="267">
        <f t="shared" si="11"/>
        <v>675.8122743682311</v>
      </c>
      <c r="K101" s="265" t="s">
        <v>113</v>
      </c>
      <c r="L101" s="266"/>
      <c r="M101" s="266"/>
      <c r="N101" s="261"/>
      <c r="O101" s="266"/>
      <c r="P101" s="266">
        <v>16</v>
      </c>
      <c r="Q101" s="266">
        <f>'Giriş İstatistikleri'!T52</f>
        <v>0</v>
      </c>
      <c r="R101" s="305" t="s">
        <v>274</v>
      </c>
      <c r="S101" s="305" t="s">
        <v>274</v>
      </c>
    </row>
    <row r="102" spans="1:19" ht="12">
      <c r="A102" s="265" t="s">
        <v>114</v>
      </c>
      <c r="B102" s="266">
        <v>548</v>
      </c>
      <c r="C102" s="266">
        <v>514</v>
      </c>
      <c r="D102" s="261">
        <v>2665</v>
      </c>
      <c r="E102" s="266">
        <f>620+198</f>
        <v>818</v>
      </c>
      <c r="F102" s="266">
        <f>104+4752</f>
        <v>4856</v>
      </c>
      <c r="G102" s="266"/>
      <c r="H102" s="267">
        <f t="shared" si="10"/>
        <v>493.643031784841</v>
      </c>
      <c r="I102" s="267"/>
      <c r="K102" s="265" t="s">
        <v>114</v>
      </c>
      <c r="L102" s="266"/>
      <c r="M102" s="266"/>
      <c r="N102" s="261"/>
      <c r="O102" s="266"/>
      <c r="P102" s="266"/>
      <c r="Q102" s="266"/>
      <c r="R102" s="305" t="s">
        <v>274</v>
      </c>
      <c r="S102" s="305" t="s">
        <v>274</v>
      </c>
    </row>
    <row r="103" spans="1:19" ht="12">
      <c r="A103" s="268" t="s">
        <v>115</v>
      </c>
      <c r="B103" s="266">
        <v>1</v>
      </c>
      <c r="C103" s="266"/>
      <c r="D103" s="261">
        <v>242</v>
      </c>
      <c r="E103" s="269">
        <v>67</v>
      </c>
      <c r="F103" s="269">
        <v>29</v>
      </c>
      <c r="G103" s="266"/>
      <c r="H103" s="270">
        <f t="shared" si="10"/>
        <v>-56.71641791044777</v>
      </c>
      <c r="I103" s="270"/>
      <c r="K103" s="268" t="s">
        <v>115</v>
      </c>
      <c r="L103" s="266"/>
      <c r="M103" s="266"/>
      <c r="N103" s="261"/>
      <c r="O103" s="269"/>
      <c r="P103" s="269"/>
      <c r="Q103" s="266"/>
      <c r="R103" s="305" t="s">
        <v>274</v>
      </c>
      <c r="S103" s="305" t="s">
        <v>274</v>
      </c>
    </row>
    <row r="104" spans="1:19" ht="12">
      <c r="A104" s="271" t="s">
        <v>278</v>
      </c>
      <c r="B104" s="272">
        <f aca="true" t="shared" si="12" ref="B104:G104">SUM(B92:B101)</f>
        <v>8696</v>
      </c>
      <c r="C104" s="272">
        <f t="shared" si="12"/>
        <v>4032</v>
      </c>
      <c r="D104" s="272">
        <f t="shared" si="12"/>
        <v>7566</v>
      </c>
      <c r="E104" s="272">
        <f t="shared" si="12"/>
        <v>12107</v>
      </c>
      <c r="F104" s="272">
        <f t="shared" si="12"/>
        <v>6685</v>
      </c>
      <c r="G104" s="272">
        <f t="shared" si="12"/>
        <v>13305</v>
      </c>
      <c r="H104" s="274">
        <f t="shared" si="10"/>
        <v>-44.784009250846616</v>
      </c>
      <c r="I104" s="275">
        <f>((G104/F104)-1)*100</f>
        <v>99.02767389678384</v>
      </c>
      <c r="K104" s="271" t="s">
        <v>278</v>
      </c>
      <c r="L104" s="272">
        <f aca="true" t="shared" si="13" ref="L104:Q104">SUM(L92:L101)</f>
        <v>0</v>
      </c>
      <c r="M104" s="272">
        <f t="shared" si="13"/>
        <v>0</v>
      </c>
      <c r="N104" s="272">
        <f t="shared" si="13"/>
        <v>0</v>
      </c>
      <c r="O104" s="272">
        <f t="shared" si="13"/>
        <v>0</v>
      </c>
      <c r="P104" s="272">
        <f t="shared" si="13"/>
        <v>16</v>
      </c>
      <c r="Q104" s="272">
        <f t="shared" si="13"/>
        <v>288</v>
      </c>
      <c r="R104" s="304" t="s">
        <v>274</v>
      </c>
      <c r="S104" s="304" t="s">
        <v>274</v>
      </c>
    </row>
    <row r="105" spans="1:19" ht="12">
      <c r="A105" s="271" t="s">
        <v>6</v>
      </c>
      <c r="B105" s="272">
        <f>SUM(B92:B103)</f>
        <v>9245</v>
      </c>
      <c r="C105" s="278">
        <f>SUM(C92:C103)</f>
        <v>4546</v>
      </c>
      <c r="D105" s="272">
        <f>SUM(D92:D103)</f>
        <v>10473</v>
      </c>
      <c r="E105" s="272">
        <f>SUM(E92:E103)</f>
        <v>12992</v>
      </c>
      <c r="F105" s="272">
        <f>SUM(F92:F103)</f>
        <v>11570</v>
      </c>
      <c r="G105" s="272"/>
      <c r="H105" s="275">
        <f t="shared" si="10"/>
        <v>-10.945197044334975</v>
      </c>
      <c r="I105" s="275"/>
      <c r="K105" s="271" t="s">
        <v>6</v>
      </c>
      <c r="L105" s="272">
        <f>SUM(L92:L103)</f>
        <v>0</v>
      </c>
      <c r="M105" s="278">
        <f>SUM(M92:M103)</f>
        <v>0</v>
      </c>
      <c r="N105" s="271"/>
      <c r="O105" s="272">
        <f>SUM(O92:O103)</f>
        <v>0</v>
      </c>
      <c r="P105" s="272">
        <f>SUM(P92:P103)</f>
        <v>16</v>
      </c>
      <c r="Q105" s="272">
        <f>SUM(Q92:Q103)</f>
        <v>288</v>
      </c>
      <c r="R105" s="306" t="s">
        <v>274</v>
      </c>
      <c r="S105" s="275"/>
    </row>
    <row r="107" ht="12">
      <c r="A107" s="228" t="s">
        <v>270</v>
      </c>
    </row>
    <row r="113" ht="12">
      <c r="G113" s="261">
        <f>G64+Q64+G83+Q83+G101+Q101</f>
        <v>42217</v>
      </c>
    </row>
  </sheetData>
  <mergeCells count="13">
    <mergeCell ref="B90:G90"/>
    <mergeCell ref="A1:C1"/>
    <mergeCell ref="H53:I53"/>
    <mergeCell ref="B53:G53"/>
    <mergeCell ref="B72:G72"/>
    <mergeCell ref="R53:S53"/>
    <mergeCell ref="H90:I90"/>
    <mergeCell ref="R90:S90"/>
    <mergeCell ref="H72:I72"/>
    <mergeCell ref="R72:S72"/>
    <mergeCell ref="L90:Q90"/>
    <mergeCell ref="L53:Q53"/>
    <mergeCell ref="L72:Q72"/>
  </mergeCells>
  <printOptions horizontalCentered="1"/>
  <pageMargins left="0" right="0" top="0.7874015748031497" bottom="0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33"/>
  <sheetViews>
    <sheetView zoomScalePageLayoutView="0" workbookViewId="0" topLeftCell="A1">
      <selection activeCell="O5" sqref="O5:O29"/>
    </sheetView>
  </sheetViews>
  <sheetFormatPr defaultColWidth="9.140625" defaultRowHeight="12.75"/>
  <cols>
    <col min="2" max="2" width="20.8515625" style="0" customWidth="1"/>
    <col min="4" max="4" width="10.8515625" style="0" customWidth="1"/>
    <col min="8" max="8" width="11.421875" style="0" customWidth="1"/>
    <col min="9" max="9" width="11.28125" style="0" customWidth="1"/>
    <col min="10" max="10" width="11.7109375" style="0" customWidth="1"/>
    <col min="13" max="13" width="9.28125" style="0" customWidth="1"/>
    <col min="14" max="14" width="9.7109375" style="0" customWidth="1"/>
    <col min="15" max="15" width="10.8515625" style="0" customWidth="1"/>
  </cols>
  <sheetData>
    <row r="2" ht="13.5" thickBot="1"/>
    <row r="3" spans="2:15" ht="15.75">
      <c r="B3" s="383" t="s">
        <v>151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5"/>
    </row>
    <row r="4" spans="2:15" ht="15.75">
      <c r="B4" s="51" t="s">
        <v>9</v>
      </c>
      <c r="C4" s="42" t="s">
        <v>104</v>
      </c>
      <c r="D4" s="42" t="s">
        <v>105</v>
      </c>
      <c r="E4" s="42" t="s">
        <v>106</v>
      </c>
      <c r="F4" s="42" t="s">
        <v>107</v>
      </c>
      <c r="G4" s="42" t="s">
        <v>108</v>
      </c>
      <c r="H4" s="42" t="s">
        <v>109</v>
      </c>
      <c r="I4" s="42" t="s">
        <v>110</v>
      </c>
      <c r="J4" s="42" t="s">
        <v>111</v>
      </c>
      <c r="K4" s="42" t="s">
        <v>112</v>
      </c>
      <c r="L4" s="42" t="s">
        <v>113</v>
      </c>
      <c r="M4" s="42" t="s">
        <v>114</v>
      </c>
      <c r="N4" s="42" t="s">
        <v>115</v>
      </c>
      <c r="O4" s="44" t="s">
        <v>6</v>
      </c>
    </row>
    <row r="5" spans="2:16" ht="15.75">
      <c r="B5" s="51" t="s">
        <v>14</v>
      </c>
      <c r="C5" s="45">
        <v>9199</v>
      </c>
      <c r="D5" s="45">
        <v>10673</v>
      </c>
      <c r="E5" s="45">
        <v>13532</v>
      </c>
      <c r="F5" s="45">
        <v>22958</v>
      </c>
      <c r="G5" s="45">
        <v>21754</v>
      </c>
      <c r="H5" s="45">
        <v>28685</v>
      </c>
      <c r="I5" s="45">
        <v>44161</v>
      </c>
      <c r="J5" s="45">
        <v>30240</v>
      </c>
      <c r="K5" s="45">
        <v>28060</v>
      </c>
      <c r="L5" s="45">
        <v>29890</v>
      </c>
      <c r="M5" s="45">
        <f>'Giriş İstatistikleri'!W9</f>
        <v>14533</v>
      </c>
      <c r="N5" s="45"/>
      <c r="O5" s="225">
        <f>SUM(C5:N5)</f>
        <v>253685</v>
      </c>
      <c r="P5" s="17"/>
    </row>
    <row r="6" spans="2:16" ht="15.75">
      <c r="B6" s="51" t="s">
        <v>19</v>
      </c>
      <c r="C6" s="45">
        <v>1488</v>
      </c>
      <c r="D6" s="45">
        <v>3068</v>
      </c>
      <c r="E6" s="45">
        <v>1756</v>
      </c>
      <c r="F6" s="45">
        <v>11615</v>
      </c>
      <c r="G6" s="45">
        <v>13398</v>
      </c>
      <c r="H6" s="45">
        <v>12220</v>
      </c>
      <c r="I6" s="45">
        <v>14791</v>
      </c>
      <c r="J6" s="45">
        <v>16022</v>
      </c>
      <c r="K6" s="45">
        <v>8459</v>
      </c>
      <c r="L6" s="45">
        <v>8154</v>
      </c>
      <c r="M6" s="45">
        <f>'Giriş İstatistikleri'!W14</f>
        <v>2222</v>
      </c>
      <c r="N6" s="45"/>
      <c r="O6" s="225">
        <f aca="true" t="shared" si="0" ref="O6:O25">SUM(C6:N6)</f>
        <v>93193</v>
      </c>
      <c r="P6" s="17"/>
    </row>
    <row r="7" spans="2:16" ht="15.75">
      <c r="B7" s="51" t="s">
        <v>31</v>
      </c>
      <c r="C7" s="45">
        <v>3087</v>
      </c>
      <c r="D7" s="45">
        <v>1949</v>
      </c>
      <c r="E7" s="45">
        <v>504</v>
      </c>
      <c r="F7" s="45">
        <v>3693</v>
      </c>
      <c r="G7" s="45">
        <v>1523</v>
      </c>
      <c r="H7" s="45">
        <v>4522</v>
      </c>
      <c r="I7" s="45">
        <v>2683</v>
      </c>
      <c r="J7" s="45">
        <v>3546</v>
      </c>
      <c r="K7" s="45">
        <v>3861</v>
      </c>
      <c r="L7" s="45">
        <v>4699</v>
      </c>
      <c r="M7" s="45">
        <f>'Giriş İstatistikleri'!W26</f>
        <v>3783</v>
      </c>
      <c r="N7" s="45"/>
      <c r="O7" s="225">
        <f t="shared" si="0"/>
        <v>33850</v>
      </c>
      <c r="P7" s="17"/>
    </row>
    <row r="8" spans="2:16" ht="15.75">
      <c r="B8" s="51" t="s">
        <v>21</v>
      </c>
      <c r="C8" s="45">
        <v>2285</v>
      </c>
      <c r="D8" s="45">
        <v>2957</v>
      </c>
      <c r="E8" s="45">
        <v>3061</v>
      </c>
      <c r="F8" s="45">
        <v>4435</v>
      </c>
      <c r="G8" s="45">
        <v>5045</v>
      </c>
      <c r="H8" s="45">
        <v>10317</v>
      </c>
      <c r="I8" s="45">
        <v>14242</v>
      </c>
      <c r="J8" s="45">
        <v>11656</v>
      </c>
      <c r="K8" s="45">
        <v>11806</v>
      </c>
      <c r="L8" s="45">
        <v>8481</v>
      </c>
      <c r="M8" s="45">
        <f>'Giriş İstatistikleri'!W16</f>
        <v>3520</v>
      </c>
      <c r="N8" s="45"/>
      <c r="O8" s="225">
        <f t="shared" si="0"/>
        <v>77805</v>
      </c>
      <c r="P8" s="17"/>
    </row>
    <row r="9" spans="2:16" ht="15.75">
      <c r="B9" s="51" t="s">
        <v>20</v>
      </c>
      <c r="C9" s="45">
        <v>1144</v>
      </c>
      <c r="D9" s="45">
        <v>1324</v>
      </c>
      <c r="E9" s="45">
        <v>1499</v>
      </c>
      <c r="F9" s="45">
        <v>6468</v>
      </c>
      <c r="G9" s="45">
        <v>9339</v>
      </c>
      <c r="H9" s="45">
        <v>8316</v>
      </c>
      <c r="I9" s="45">
        <v>12877</v>
      </c>
      <c r="J9" s="45">
        <v>9194</v>
      </c>
      <c r="K9" s="45">
        <v>9417</v>
      </c>
      <c r="L9" s="45">
        <v>7583</v>
      </c>
      <c r="M9" s="45">
        <f>'Giriş İstatistikleri'!W15</f>
        <v>1655</v>
      </c>
      <c r="N9" s="45"/>
      <c r="O9" s="225">
        <f t="shared" si="0"/>
        <v>68816</v>
      </c>
      <c r="P9" s="17"/>
    </row>
    <row r="10" spans="2:16" ht="15.75">
      <c r="B10" s="51" t="s">
        <v>25</v>
      </c>
      <c r="C10" s="45">
        <v>246</v>
      </c>
      <c r="D10" s="45">
        <v>272</v>
      </c>
      <c r="E10" s="45">
        <v>309</v>
      </c>
      <c r="F10" s="45">
        <v>1119</v>
      </c>
      <c r="G10" s="45">
        <v>1176</v>
      </c>
      <c r="H10" s="45">
        <v>1441</v>
      </c>
      <c r="I10" s="45">
        <v>2838</v>
      </c>
      <c r="J10" s="45">
        <v>1146</v>
      </c>
      <c r="K10" s="45">
        <v>1957</v>
      </c>
      <c r="L10" s="45">
        <v>1867</v>
      </c>
      <c r="M10" s="45">
        <f>'Giriş İstatistikleri'!W20</f>
        <v>511</v>
      </c>
      <c r="N10" s="45"/>
      <c r="O10" s="225">
        <f t="shared" si="0"/>
        <v>12882</v>
      </c>
      <c r="P10" s="17"/>
    </row>
    <row r="11" spans="2:16" ht="15.75">
      <c r="B11" s="51" t="s">
        <v>17</v>
      </c>
      <c r="C11" s="45">
        <v>119</v>
      </c>
      <c r="D11" s="45">
        <v>97</v>
      </c>
      <c r="E11" s="45">
        <v>128</v>
      </c>
      <c r="F11" s="45">
        <v>199</v>
      </c>
      <c r="G11" s="45">
        <v>952</v>
      </c>
      <c r="H11" s="45">
        <v>1676</v>
      </c>
      <c r="I11" s="45">
        <v>2765</v>
      </c>
      <c r="J11" s="45">
        <v>1205</v>
      </c>
      <c r="K11" s="45">
        <v>1159</v>
      </c>
      <c r="L11" s="45">
        <v>753</v>
      </c>
      <c r="M11" s="45">
        <f>'Giriş İstatistikleri'!W12</f>
        <v>139</v>
      </c>
      <c r="N11" s="45"/>
      <c r="O11" s="225">
        <f t="shared" si="0"/>
        <v>9192</v>
      </c>
      <c r="P11" s="17"/>
    </row>
    <row r="12" spans="2:16" ht="15.75">
      <c r="B12" s="51" t="s">
        <v>18</v>
      </c>
      <c r="C12" s="45">
        <v>22</v>
      </c>
      <c r="D12" s="45">
        <v>32</v>
      </c>
      <c r="E12" s="45">
        <v>53</v>
      </c>
      <c r="F12" s="45">
        <v>62</v>
      </c>
      <c r="G12" s="45">
        <v>360</v>
      </c>
      <c r="H12" s="45">
        <v>725</v>
      </c>
      <c r="I12" s="45">
        <v>753</v>
      </c>
      <c r="J12" s="45">
        <v>517</v>
      </c>
      <c r="K12" s="45">
        <v>536</v>
      </c>
      <c r="L12" s="45">
        <v>621</v>
      </c>
      <c r="M12" s="45">
        <f>'Giriş İstatistikleri'!W13</f>
        <v>50</v>
      </c>
      <c r="N12" s="45"/>
      <c r="O12" s="225">
        <f t="shared" si="0"/>
        <v>3731</v>
      </c>
      <c r="P12" s="17"/>
    </row>
    <row r="13" spans="2:16" ht="15.75">
      <c r="B13" s="51" t="s">
        <v>30</v>
      </c>
      <c r="C13" s="45">
        <v>464</v>
      </c>
      <c r="D13" s="45">
        <v>565</v>
      </c>
      <c r="E13" s="45">
        <v>2284</v>
      </c>
      <c r="F13" s="45">
        <v>2105</v>
      </c>
      <c r="G13" s="45">
        <v>1944</v>
      </c>
      <c r="H13" s="45">
        <v>3758</v>
      </c>
      <c r="I13" s="45">
        <v>4710</v>
      </c>
      <c r="J13" s="45">
        <v>6771</v>
      </c>
      <c r="K13" s="45">
        <v>3591</v>
      </c>
      <c r="L13" s="45">
        <v>1903</v>
      </c>
      <c r="M13" s="45">
        <f>'Giriş İstatistikleri'!W25</f>
        <v>1002</v>
      </c>
      <c r="N13" s="45"/>
      <c r="O13" s="225">
        <f t="shared" si="0"/>
        <v>29097</v>
      </c>
      <c r="P13" s="17"/>
    </row>
    <row r="14" spans="2:16" ht="15.75">
      <c r="B14" s="51" t="s">
        <v>24</v>
      </c>
      <c r="C14" s="45">
        <v>226</v>
      </c>
      <c r="D14" s="45">
        <v>278</v>
      </c>
      <c r="E14" s="45">
        <v>157</v>
      </c>
      <c r="F14" s="45">
        <v>656</v>
      </c>
      <c r="G14" s="45">
        <v>2295</v>
      </c>
      <c r="H14" s="45">
        <v>2538</v>
      </c>
      <c r="I14" s="45">
        <v>2331</v>
      </c>
      <c r="J14" s="45">
        <v>1848</v>
      </c>
      <c r="K14" s="45">
        <v>2493</v>
      </c>
      <c r="L14" s="45">
        <v>2225</v>
      </c>
      <c r="M14" s="45">
        <f>'Giriş İstatistikleri'!W19</f>
        <v>407</v>
      </c>
      <c r="N14" s="45"/>
      <c r="O14" s="225">
        <f t="shared" si="0"/>
        <v>15454</v>
      </c>
      <c r="P14" s="17"/>
    </row>
    <row r="15" spans="2:16" ht="15.75">
      <c r="B15" s="51" t="s">
        <v>16</v>
      </c>
      <c r="C15" s="45">
        <v>342</v>
      </c>
      <c r="D15" s="45">
        <v>450</v>
      </c>
      <c r="E15" s="45">
        <v>431</v>
      </c>
      <c r="F15" s="45">
        <v>3383</v>
      </c>
      <c r="G15" s="45">
        <v>8966</v>
      </c>
      <c r="H15" s="45">
        <v>10219</v>
      </c>
      <c r="I15" s="45">
        <v>16083</v>
      </c>
      <c r="J15" s="45">
        <v>11776</v>
      </c>
      <c r="K15" s="45">
        <v>9606</v>
      </c>
      <c r="L15" s="45">
        <v>3082</v>
      </c>
      <c r="M15" s="45">
        <f>'Giriş İstatistikleri'!W11</f>
        <v>639</v>
      </c>
      <c r="N15" s="45"/>
      <c r="O15" s="225">
        <f t="shared" si="0"/>
        <v>64977</v>
      </c>
      <c r="P15" s="17"/>
    </row>
    <row r="16" spans="2:16" ht="15.75">
      <c r="B16" s="51" t="s">
        <v>34</v>
      </c>
      <c r="C16" s="45">
        <v>447</v>
      </c>
      <c r="D16" s="45">
        <v>405</v>
      </c>
      <c r="E16" s="45">
        <v>470</v>
      </c>
      <c r="F16" s="45">
        <v>689</v>
      </c>
      <c r="G16" s="45">
        <v>547</v>
      </c>
      <c r="H16" s="45">
        <v>929</v>
      </c>
      <c r="I16" s="45">
        <v>548</v>
      </c>
      <c r="J16" s="45">
        <v>485</v>
      </c>
      <c r="K16" s="45">
        <v>1890</v>
      </c>
      <c r="L16" s="45">
        <v>1164</v>
      </c>
      <c r="M16" s="45">
        <f>'Giriş İstatistikleri'!W29</f>
        <v>695</v>
      </c>
      <c r="N16" s="45"/>
      <c r="O16" s="225">
        <f t="shared" si="0"/>
        <v>8269</v>
      </c>
      <c r="P16" s="17"/>
    </row>
    <row r="17" spans="2:16" ht="15.75">
      <c r="B17" s="51" t="s">
        <v>23</v>
      </c>
      <c r="C17" s="45">
        <v>683</v>
      </c>
      <c r="D17" s="45">
        <v>345</v>
      </c>
      <c r="E17" s="45">
        <v>536</v>
      </c>
      <c r="F17" s="45">
        <v>2399</v>
      </c>
      <c r="G17" s="45">
        <v>4513</v>
      </c>
      <c r="H17" s="45">
        <v>4559</v>
      </c>
      <c r="I17" s="45">
        <v>6141</v>
      </c>
      <c r="J17" s="45">
        <v>6984</v>
      </c>
      <c r="K17" s="45">
        <v>5533</v>
      </c>
      <c r="L17" s="45">
        <v>4355</v>
      </c>
      <c r="M17" s="45">
        <f>'Giriş İstatistikleri'!W18</f>
        <v>1870</v>
      </c>
      <c r="N17" s="45"/>
      <c r="O17" s="225">
        <f t="shared" si="0"/>
        <v>37918</v>
      </c>
      <c r="P17" s="17"/>
    </row>
    <row r="18" spans="2:16" ht="15.75">
      <c r="B18" s="51" t="s">
        <v>38</v>
      </c>
      <c r="C18" s="45">
        <v>111</v>
      </c>
      <c r="D18" s="45">
        <v>78</v>
      </c>
      <c r="E18" s="45">
        <v>120</v>
      </c>
      <c r="F18" s="45">
        <v>134</v>
      </c>
      <c r="G18" s="45">
        <v>256</v>
      </c>
      <c r="H18" s="45">
        <v>361</v>
      </c>
      <c r="I18" s="45">
        <v>317</v>
      </c>
      <c r="J18" s="45">
        <v>266</v>
      </c>
      <c r="K18" s="45">
        <v>576</v>
      </c>
      <c r="L18" s="45">
        <v>520</v>
      </c>
      <c r="M18" s="45">
        <f>'Giriş İstatistikleri'!W34</f>
        <v>146</v>
      </c>
      <c r="N18" s="45"/>
      <c r="O18" s="225">
        <f t="shared" si="0"/>
        <v>2885</v>
      </c>
      <c r="P18" s="17"/>
    </row>
    <row r="19" spans="2:16" ht="15.75">
      <c r="B19" s="51" t="s">
        <v>15</v>
      </c>
      <c r="C19" s="45">
        <v>981</v>
      </c>
      <c r="D19" s="45">
        <v>1095</v>
      </c>
      <c r="E19" s="45">
        <v>1253</v>
      </c>
      <c r="F19" s="45">
        <v>1699</v>
      </c>
      <c r="G19" s="45">
        <v>1110</v>
      </c>
      <c r="H19" s="45">
        <v>1250</v>
      </c>
      <c r="I19" s="45">
        <v>3453</v>
      </c>
      <c r="J19" s="226">
        <v>1943</v>
      </c>
      <c r="K19" s="45">
        <v>1103</v>
      </c>
      <c r="L19" s="45">
        <v>1343</v>
      </c>
      <c r="M19" s="45">
        <f>'Giriş İstatistikleri'!W10</f>
        <v>763</v>
      </c>
      <c r="N19" s="45"/>
      <c r="O19" s="225">
        <f t="shared" si="0"/>
        <v>15993</v>
      </c>
      <c r="P19" s="17"/>
    </row>
    <row r="20" spans="2:16" ht="15.75">
      <c r="B20" s="51" t="s">
        <v>33</v>
      </c>
      <c r="C20" s="45">
        <v>29</v>
      </c>
      <c r="D20" s="45">
        <v>47</v>
      </c>
      <c r="E20" s="45">
        <v>77</v>
      </c>
      <c r="F20" s="45">
        <v>141</v>
      </c>
      <c r="G20" s="45">
        <v>243</v>
      </c>
      <c r="H20" s="45">
        <v>295</v>
      </c>
      <c r="I20" s="45">
        <v>202</v>
      </c>
      <c r="J20" s="45">
        <v>306</v>
      </c>
      <c r="K20" s="45">
        <v>221</v>
      </c>
      <c r="L20" s="45">
        <v>744</v>
      </c>
      <c r="M20" s="45">
        <f>'Giriş İstatistikleri'!W28</f>
        <v>72</v>
      </c>
      <c r="N20" s="45"/>
      <c r="O20" s="225">
        <f t="shared" si="0"/>
        <v>2377</v>
      </c>
      <c r="P20" s="17"/>
    </row>
    <row r="21" spans="2:16" ht="15.75">
      <c r="B21" s="51" t="s">
        <v>127</v>
      </c>
      <c r="C21" s="45">
        <v>226</v>
      </c>
      <c r="D21" s="45">
        <v>62</v>
      </c>
      <c r="E21" s="45">
        <v>64</v>
      </c>
      <c r="F21" s="45">
        <v>129</v>
      </c>
      <c r="G21" s="45">
        <v>399</v>
      </c>
      <c r="H21" s="45">
        <v>2421</v>
      </c>
      <c r="I21" s="45">
        <v>2712</v>
      </c>
      <c r="J21" s="45">
        <v>2212</v>
      </c>
      <c r="K21" s="45">
        <v>1564</v>
      </c>
      <c r="L21" s="45">
        <v>243</v>
      </c>
      <c r="M21" s="45">
        <f>'Giriş İstatistikleri'!W36</f>
        <v>101</v>
      </c>
      <c r="N21" s="45"/>
      <c r="O21" s="225">
        <f t="shared" si="0"/>
        <v>10133</v>
      </c>
      <c r="P21" s="17"/>
    </row>
    <row r="22" spans="2:16" ht="15.75">
      <c r="B22" s="51" t="s">
        <v>26</v>
      </c>
      <c r="C22" s="45">
        <v>5302</v>
      </c>
      <c r="D22" s="45">
        <v>3758</v>
      </c>
      <c r="E22" s="45">
        <v>2808</v>
      </c>
      <c r="F22" s="45">
        <v>9903</v>
      </c>
      <c r="G22" s="45">
        <v>17722</v>
      </c>
      <c r="H22" s="45">
        <v>22095</v>
      </c>
      <c r="I22" s="45">
        <v>19170</v>
      </c>
      <c r="J22" s="45">
        <v>21110</v>
      </c>
      <c r="K22" s="45">
        <v>21325</v>
      </c>
      <c r="L22" s="45">
        <v>12798</v>
      </c>
      <c r="M22" s="45">
        <f>'Giriş İstatistikleri'!W21</f>
        <v>6116</v>
      </c>
      <c r="N22" s="45"/>
      <c r="O22" s="225">
        <f t="shared" si="0"/>
        <v>142107</v>
      </c>
      <c r="P22" s="17"/>
    </row>
    <row r="23" spans="2:16" ht="15.75">
      <c r="B23" s="51" t="s">
        <v>29</v>
      </c>
      <c r="C23" s="45">
        <v>70</v>
      </c>
      <c r="D23" s="45">
        <v>53</v>
      </c>
      <c r="E23" s="45">
        <v>61</v>
      </c>
      <c r="F23" s="45">
        <v>200</v>
      </c>
      <c r="G23" s="45">
        <v>274</v>
      </c>
      <c r="H23" s="45">
        <v>478</v>
      </c>
      <c r="I23" s="45">
        <v>526</v>
      </c>
      <c r="J23" s="45">
        <v>807</v>
      </c>
      <c r="K23" s="45">
        <v>562</v>
      </c>
      <c r="L23" s="45">
        <v>271</v>
      </c>
      <c r="M23" s="45">
        <f>'Giriş İstatistikleri'!W24</f>
        <v>157</v>
      </c>
      <c r="N23" s="45"/>
      <c r="O23" s="225">
        <f t="shared" si="0"/>
        <v>3459</v>
      </c>
      <c r="P23" s="17"/>
    </row>
    <row r="24" spans="2:16" ht="15.75">
      <c r="B24" s="51" t="s">
        <v>49</v>
      </c>
      <c r="C24" s="45"/>
      <c r="D24" s="45">
        <v>0</v>
      </c>
      <c r="E24" s="45">
        <v>0</v>
      </c>
      <c r="F24" s="45">
        <v>0</v>
      </c>
      <c r="G24" s="45">
        <v>0</v>
      </c>
      <c r="H24" s="45">
        <v>12</v>
      </c>
      <c r="I24" s="45">
        <v>6</v>
      </c>
      <c r="J24" s="45">
        <v>9</v>
      </c>
      <c r="K24" s="45">
        <v>18</v>
      </c>
      <c r="L24" s="45">
        <v>48</v>
      </c>
      <c r="M24" s="45">
        <f>'Giriş İstatistikleri'!W46</f>
        <v>9</v>
      </c>
      <c r="N24" s="45"/>
      <c r="O24" s="225">
        <f t="shared" si="0"/>
        <v>102</v>
      </c>
      <c r="P24" s="17"/>
    </row>
    <row r="25" spans="2:16" ht="15.75">
      <c r="B25" s="51" t="s">
        <v>46</v>
      </c>
      <c r="C25" s="45"/>
      <c r="D25" s="45">
        <v>52</v>
      </c>
      <c r="E25" s="45">
        <v>4</v>
      </c>
      <c r="F25" s="45">
        <v>24</v>
      </c>
      <c r="G25" s="45">
        <v>23</v>
      </c>
      <c r="H25" s="45">
        <v>24</v>
      </c>
      <c r="I25" s="45">
        <v>42</v>
      </c>
      <c r="J25" s="45">
        <v>82</v>
      </c>
      <c r="K25" s="45">
        <v>43</v>
      </c>
      <c r="L25" s="45">
        <v>79</v>
      </c>
      <c r="M25" s="45">
        <f>'Giriş İstatistikleri'!W43</f>
        <v>19</v>
      </c>
      <c r="N25" s="45"/>
      <c r="O25" s="225">
        <f t="shared" si="0"/>
        <v>392</v>
      </c>
      <c r="P25" s="17"/>
    </row>
    <row r="26" spans="2:16" ht="15.75">
      <c r="B26" s="51" t="s">
        <v>54</v>
      </c>
      <c r="C26" s="45">
        <v>2986</v>
      </c>
      <c r="D26" s="45">
        <v>2651</v>
      </c>
      <c r="E26" s="45">
        <v>4085</v>
      </c>
      <c r="F26" s="45">
        <v>5639</v>
      </c>
      <c r="G26" s="45">
        <v>18465</v>
      </c>
      <c r="H26" s="45">
        <f>H27-SUM(H5:H25)</f>
        <v>20034</v>
      </c>
      <c r="I26" s="45">
        <f>I27-SUM(I5:I25)</f>
        <v>25180</v>
      </c>
      <c r="J26" s="45">
        <f>J27-SUM(J5:J25)</f>
        <v>25100</v>
      </c>
      <c r="K26" s="45">
        <f>K27-SUM(K5:K25)</f>
        <v>20734</v>
      </c>
      <c r="L26" s="45">
        <v>8941</v>
      </c>
      <c r="M26" s="45">
        <f>M27-SUM(M5:M25)</f>
        <v>3808</v>
      </c>
      <c r="N26" s="45"/>
      <c r="O26" s="225">
        <f>SUM(C26:N26)</f>
        <v>137623</v>
      </c>
      <c r="P26" s="17"/>
    </row>
    <row r="27" spans="2:16" ht="15.75">
      <c r="B27" s="51" t="s">
        <v>55</v>
      </c>
      <c r="C27" s="45">
        <v>29457</v>
      </c>
      <c r="D27" s="45">
        <v>30211</v>
      </c>
      <c r="E27" s="45">
        <v>33192</v>
      </c>
      <c r="F27" s="45">
        <v>77650</v>
      </c>
      <c r="G27" s="45">
        <v>110304</v>
      </c>
      <c r="H27" s="45">
        <v>136875</v>
      </c>
      <c r="I27" s="45">
        <v>176531</v>
      </c>
      <c r="J27" s="45">
        <v>153225</v>
      </c>
      <c r="K27" s="45">
        <v>134514</v>
      </c>
      <c r="L27" s="45">
        <v>99764</v>
      </c>
      <c r="M27" s="45">
        <f>'Giriş İstatistikleri'!W52</f>
        <v>42217</v>
      </c>
      <c r="N27" s="45"/>
      <c r="O27" s="225">
        <f>SUM(C27:N27)</f>
        <v>1023940</v>
      </c>
      <c r="P27" s="17"/>
    </row>
    <row r="28" spans="2:16" ht="15.75">
      <c r="B28" s="51" t="s">
        <v>56</v>
      </c>
      <c r="C28" s="45">
        <v>19538</v>
      </c>
      <c r="D28" s="45">
        <v>20873</v>
      </c>
      <c r="E28" s="45">
        <v>24321</v>
      </c>
      <c r="F28" s="45">
        <v>28360</v>
      </c>
      <c r="G28" s="45">
        <v>33338</v>
      </c>
      <c r="H28" s="45">
        <v>40762</v>
      </c>
      <c r="I28" s="45">
        <v>52769</v>
      </c>
      <c r="J28" s="45">
        <v>36276</v>
      </c>
      <c r="K28" s="45">
        <v>33227</v>
      </c>
      <c r="L28" s="45">
        <v>26091</v>
      </c>
      <c r="M28" s="45">
        <f>'Giriş İstatistikleri'!W53</f>
        <v>29280</v>
      </c>
      <c r="N28" s="45"/>
      <c r="O28" s="225">
        <f>SUM(C28:N28)</f>
        <v>344835</v>
      </c>
      <c r="P28" s="17"/>
    </row>
    <row r="29" spans="2:16" ht="15.75">
      <c r="B29" s="51" t="s">
        <v>91</v>
      </c>
      <c r="C29" s="45">
        <v>48995</v>
      </c>
      <c r="D29" s="45">
        <v>51084</v>
      </c>
      <c r="E29" s="45">
        <v>57513</v>
      </c>
      <c r="F29" s="45">
        <v>106010</v>
      </c>
      <c r="G29" s="45">
        <f>SUM(G27:G28)</f>
        <v>143642</v>
      </c>
      <c r="H29" s="45">
        <f>SUM(H27:H28)</f>
        <v>177637</v>
      </c>
      <c r="I29" s="45">
        <f>SUM(I27:I28)</f>
        <v>229300</v>
      </c>
      <c r="J29" s="45">
        <f aca="true" t="shared" si="1" ref="J29:O29">SUM(J27:J28)</f>
        <v>189501</v>
      </c>
      <c r="K29" s="45">
        <f t="shared" si="1"/>
        <v>167741</v>
      </c>
      <c r="L29" s="45">
        <v>125855</v>
      </c>
      <c r="M29" s="45">
        <f t="shared" si="1"/>
        <v>71497</v>
      </c>
      <c r="N29" s="45">
        <f t="shared" si="1"/>
        <v>0</v>
      </c>
      <c r="O29" s="225">
        <f t="shared" si="1"/>
        <v>1368775</v>
      </c>
      <c r="P29" s="17"/>
    </row>
    <row r="30" spans="2:15" ht="15.75">
      <c r="B30" s="5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4"/>
    </row>
    <row r="31" spans="2:15" ht="16.5" thickBot="1">
      <c r="B31" s="386" t="s">
        <v>126</v>
      </c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8"/>
    </row>
    <row r="33" ht="12.75">
      <c r="K33" s="227"/>
    </row>
  </sheetData>
  <sheetProtection/>
  <mergeCells count="2">
    <mergeCell ref="B3:O3"/>
    <mergeCell ref="B31:O31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D57"/>
  <sheetViews>
    <sheetView zoomScalePageLayoutView="0" workbookViewId="0" topLeftCell="A1">
      <selection activeCell="D54" sqref="D54"/>
    </sheetView>
  </sheetViews>
  <sheetFormatPr defaultColWidth="9.140625" defaultRowHeight="12.75"/>
  <cols>
    <col min="2" max="2" width="19.57421875" style="0" customWidth="1"/>
    <col min="3" max="3" width="13.00390625" style="0" customWidth="1"/>
    <col min="4" max="4" width="11.00390625" style="0" customWidth="1"/>
    <col min="5" max="5" width="11.421875" style="0" customWidth="1"/>
    <col min="6" max="6" width="10.7109375" style="0" customWidth="1"/>
    <col min="7" max="7" width="11.57421875" style="0" customWidth="1"/>
    <col min="9" max="9" width="11.140625" style="0" customWidth="1"/>
    <col min="11" max="11" width="11.57421875" style="0" customWidth="1"/>
    <col min="13" max="13" width="12.140625" style="0" customWidth="1"/>
    <col min="14" max="14" width="11.00390625" style="0" customWidth="1"/>
    <col min="15" max="15" width="14.140625" style="0" customWidth="1"/>
    <col min="17" max="17" width="10.7109375" style="0" customWidth="1"/>
    <col min="30" max="30" width="11.8515625" style="0" bestFit="1" customWidth="1"/>
  </cols>
  <sheetData>
    <row r="2" ht="13.5" thickBot="1"/>
    <row r="3" spans="2:15" ht="15.75">
      <c r="B3" s="391" t="s">
        <v>97</v>
      </c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3"/>
    </row>
    <row r="4" spans="2:15" ht="15.75">
      <c r="B4" s="394"/>
      <c r="C4" s="38" t="s">
        <v>98</v>
      </c>
      <c r="D4" s="389" t="s">
        <v>2</v>
      </c>
      <c r="E4" s="390"/>
      <c r="F4" s="389" t="s">
        <v>137</v>
      </c>
      <c r="G4" s="390"/>
      <c r="H4" s="389" t="s">
        <v>99</v>
      </c>
      <c r="I4" s="390"/>
      <c r="J4" s="389" t="s">
        <v>4</v>
      </c>
      <c r="K4" s="390"/>
      <c r="L4" s="399" t="s">
        <v>5</v>
      </c>
      <c r="M4" s="400"/>
      <c r="N4" s="395" t="s">
        <v>6</v>
      </c>
      <c r="O4" s="39" t="s">
        <v>100</v>
      </c>
    </row>
    <row r="5" spans="2:15" ht="15.75">
      <c r="B5" s="394"/>
      <c r="C5" s="38" t="s">
        <v>101</v>
      </c>
      <c r="D5" s="389" t="s">
        <v>102</v>
      </c>
      <c r="E5" s="390"/>
      <c r="F5" s="389" t="s">
        <v>102</v>
      </c>
      <c r="G5" s="390"/>
      <c r="H5" s="389" t="s">
        <v>102</v>
      </c>
      <c r="I5" s="390"/>
      <c r="J5" s="389" t="s">
        <v>102</v>
      </c>
      <c r="K5" s="390"/>
      <c r="L5" s="401" t="s">
        <v>102</v>
      </c>
      <c r="M5" s="402"/>
      <c r="N5" s="395"/>
      <c r="O5" s="39" t="s">
        <v>103</v>
      </c>
    </row>
    <row r="6" spans="2:15" ht="15.75">
      <c r="B6" s="49"/>
      <c r="C6" s="38" t="s">
        <v>10</v>
      </c>
      <c r="D6" s="38" t="s">
        <v>10</v>
      </c>
      <c r="E6" s="38" t="s">
        <v>132</v>
      </c>
      <c r="F6" s="38" t="s">
        <v>10</v>
      </c>
      <c r="G6" s="38" t="s">
        <v>132</v>
      </c>
      <c r="H6" s="38" t="s">
        <v>10</v>
      </c>
      <c r="I6" s="38" t="s">
        <v>132</v>
      </c>
      <c r="J6" s="38" t="s">
        <v>10</v>
      </c>
      <c r="K6" s="38" t="s">
        <v>133</v>
      </c>
      <c r="L6" s="38" t="s">
        <v>10</v>
      </c>
      <c r="M6" s="41" t="s">
        <v>132</v>
      </c>
      <c r="N6" s="38"/>
      <c r="O6" s="48"/>
    </row>
    <row r="7" spans="2:30" ht="15.75">
      <c r="B7" s="50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3"/>
      <c r="Q7" s="52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</row>
    <row r="8" spans="2:30" ht="15.75">
      <c r="B8" s="92">
        <v>2007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4" t="s">
        <v>135</v>
      </c>
      <c r="Q8" s="141"/>
      <c r="R8" s="52"/>
      <c r="S8" s="52"/>
      <c r="T8" s="140"/>
      <c r="U8" s="140"/>
      <c r="V8" s="140"/>
      <c r="W8" s="52"/>
      <c r="X8" s="140"/>
      <c r="Y8" s="140"/>
      <c r="Z8" s="140"/>
      <c r="AA8" s="140"/>
      <c r="AB8" s="140"/>
      <c r="AC8" s="52"/>
      <c r="AD8" s="142"/>
    </row>
    <row r="9" spans="2:30" ht="15.75">
      <c r="B9" s="86" t="s">
        <v>104</v>
      </c>
      <c r="C9" s="42">
        <v>11688</v>
      </c>
      <c r="D9" s="42">
        <v>6477</v>
      </c>
      <c r="E9" s="42"/>
      <c r="F9" s="42"/>
      <c r="G9" s="42"/>
      <c r="H9" s="42">
        <v>1210</v>
      </c>
      <c r="I9" s="42"/>
      <c r="J9" s="42">
        <v>100</v>
      </c>
      <c r="K9" s="42"/>
      <c r="L9" s="42"/>
      <c r="M9" s="46"/>
      <c r="N9" s="42">
        <f aca="true" t="shared" si="0" ref="N9:N20">SUM(C9:L9)</f>
        <v>19475</v>
      </c>
      <c r="O9" s="85">
        <v>16.31</v>
      </c>
      <c r="Q9" s="141"/>
      <c r="R9" s="52"/>
      <c r="S9" s="52"/>
      <c r="T9" s="140"/>
      <c r="U9" s="140"/>
      <c r="V9" s="140"/>
      <c r="W9" s="52"/>
      <c r="X9" s="140"/>
      <c r="Y9" s="52"/>
      <c r="Z9" s="52"/>
      <c r="AA9" s="52"/>
      <c r="AB9" s="140"/>
      <c r="AC9" s="52"/>
      <c r="AD9" s="142"/>
    </row>
    <row r="10" spans="2:30" ht="15.75">
      <c r="B10" s="86" t="s">
        <v>105</v>
      </c>
      <c r="C10" s="42">
        <v>14579</v>
      </c>
      <c r="D10" s="42">
        <v>9524</v>
      </c>
      <c r="E10" s="42"/>
      <c r="F10" s="42"/>
      <c r="G10" s="42"/>
      <c r="H10" s="42">
        <v>941</v>
      </c>
      <c r="I10" s="42"/>
      <c r="J10" s="42">
        <v>1</v>
      </c>
      <c r="K10" s="42"/>
      <c r="L10" s="42"/>
      <c r="M10" s="46"/>
      <c r="N10" s="42">
        <f t="shared" si="0"/>
        <v>25045</v>
      </c>
      <c r="O10" s="85">
        <v>68.74</v>
      </c>
      <c r="Q10" s="141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140"/>
      <c r="AC10" s="52"/>
      <c r="AD10" s="142"/>
    </row>
    <row r="11" spans="2:30" ht="15.75">
      <c r="B11" s="86" t="s">
        <v>106</v>
      </c>
      <c r="C11" s="42">
        <v>19676</v>
      </c>
      <c r="D11" s="42">
        <v>18810</v>
      </c>
      <c r="E11" s="42"/>
      <c r="F11" s="42"/>
      <c r="G11" s="42"/>
      <c r="H11" s="42">
        <v>1886</v>
      </c>
      <c r="I11" s="42"/>
      <c r="J11" s="42">
        <v>117</v>
      </c>
      <c r="K11" s="42">
        <v>401</v>
      </c>
      <c r="L11" s="42"/>
      <c r="M11" s="46"/>
      <c r="N11" s="42">
        <f t="shared" si="0"/>
        <v>40890</v>
      </c>
      <c r="O11" s="85">
        <v>60.84</v>
      </c>
      <c r="Q11" s="141"/>
      <c r="R11" s="52"/>
      <c r="S11" s="52"/>
      <c r="T11" s="52"/>
      <c r="U11" s="52"/>
      <c r="V11" s="52"/>
      <c r="W11" s="52"/>
      <c r="X11" s="52"/>
      <c r="Y11" s="52"/>
      <c r="Z11" s="140"/>
      <c r="AA11" s="52"/>
      <c r="AB11" s="140"/>
      <c r="AC11" s="52"/>
      <c r="AD11" s="142"/>
    </row>
    <row r="12" spans="2:30" ht="15.75">
      <c r="B12" s="37" t="s">
        <v>107</v>
      </c>
      <c r="C12" s="42">
        <v>38136</v>
      </c>
      <c r="D12" s="42">
        <v>9997</v>
      </c>
      <c r="E12" s="46"/>
      <c r="F12" s="46"/>
      <c r="G12" s="46"/>
      <c r="H12" s="42">
        <v>2899</v>
      </c>
      <c r="I12" s="46"/>
      <c r="J12" s="42">
        <v>79</v>
      </c>
      <c r="K12" s="42">
        <v>153</v>
      </c>
      <c r="L12" s="42"/>
      <c r="M12" s="46"/>
      <c r="N12" s="42">
        <f t="shared" si="0"/>
        <v>51264</v>
      </c>
      <c r="O12" s="85">
        <v>15.94</v>
      </c>
      <c r="Q12" s="141"/>
      <c r="R12" s="143"/>
      <c r="S12" s="143"/>
      <c r="T12" s="140"/>
      <c r="U12" s="140"/>
      <c r="V12" s="140"/>
      <c r="W12" s="143"/>
      <c r="X12" s="140"/>
      <c r="Y12" s="143"/>
      <c r="Z12" s="143"/>
      <c r="AA12" s="143"/>
      <c r="AB12" s="140"/>
      <c r="AC12" s="143"/>
      <c r="AD12" s="142"/>
    </row>
    <row r="13" spans="2:30" ht="15.75">
      <c r="B13" s="37" t="s">
        <v>108</v>
      </c>
      <c r="C13" s="42">
        <v>63463</v>
      </c>
      <c r="D13" s="42">
        <v>18338</v>
      </c>
      <c r="E13" s="42"/>
      <c r="F13" s="42"/>
      <c r="G13" s="42"/>
      <c r="H13" s="42">
        <v>3509</v>
      </c>
      <c r="I13" s="42"/>
      <c r="J13" s="42">
        <v>326</v>
      </c>
      <c r="K13" s="42">
        <v>707</v>
      </c>
      <c r="L13" s="42"/>
      <c r="M13" s="46"/>
      <c r="N13" s="42">
        <f t="shared" si="0"/>
        <v>86343</v>
      </c>
      <c r="O13" s="85">
        <v>28.74</v>
      </c>
      <c r="Q13" s="141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140"/>
      <c r="AC13" s="52"/>
      <c r="AD13" s="142"/>
    </row>
    <row r="14" spans="2:30" ht="15.75">
      <c r="B14" s="37" t="s">
        <v>109</v>
      </c>
      <c r="C14" s="42">
        <v>84966</v>
      </c>
      <c r="D14" s="42">
        <v>45688</v>
      </c>
      <c r="E14" s="42"/>
      <c r="F14" s="42"/>
      <c r="G14" s="42"/>
      <c r="H14" s="42">
        <v>3534</v>
      </c>
      <c r="I14" s="42"/>
      <c r="J14" s="42">
        <v>126</v>
      </c>
      <c r="K14" s="42">
        <v>1440</v>
      </c>
      <c r="L14" s="42"/>
      <c r="M14" s="46"/>
      <c r="N14" s="42">
        <f t="shared" si="0"/>
        <v>135754</v>
      </c>
      <c r="O14" s="85">
        <v>43.83</v>
      </c>
      <c r="Q14" s="144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140"/>
      <c r="AC14" s="52"/>
      <c r="AD14" s="142"/>
    </row>
    <row r="15" spans="2:30" ht="15.75">
      <c r="B15" s="40" t="s">
        <v>110</v>
      </c>
      <c r="C15" s="42">
        <v>123205</v>
      </c>
      <c r="D15" s="42">
        <v>41076</v>
      </c>
      <c r="E15" s="46"/>
      <c r="F15" s="46"/>
      <c r="G15" s="46"/>
      <c r="H15" s="42">
        <v>8675</v>
      </c>
      <c r="I15" s="46"/>
      <c r="J15" s="42">
        <v>110</v>
      </c>
      <c r="K15" s="42">
        <v>1457</v>
      </c>
      <c r="L15" s="42"/>
      <c r="M15" s="46"/>
      <c r="N15" s="42">
        <f t="shared" si="0"/>
        <v>174523</v>
      </c>
      <c r="O15" s="85">
        <v>16.27</v>
      </c>
      <c r="Q15" s="141"/>
      <c r="R15" s="143"/>
      <c r="S15" s="143"/>
      <c r="T15" s="140"/>
      <c r="U15" s="140"/>
      <c r="V15" s="140"/>
      <c r="W15" s="143"/>
      <c r="X15" s="140"/>
      <c r="Y15" s="143"/>
      <c r="Z15" s="52"/>
      <c r="AA15" s="143"/>
      <c r="AB15" s="140"/>
      <c r="AC15" s="143"/>
      <c r="AD15" s="142"/>
    </row>
    <row r="16" spans="2:30" ht="15.75">
      <c r="B16" s="37" t="s">
        <v>111</v>
      </c>
      <c r="C16" s="42">
        <v>109010</v>
      </c>
      <c r="D16" s="42">
        <v>47112</v>
      </c>
      <c r="E16" s="42"/>
      <c r="F16" s="42"/>
      <c r="G16" s="42"/>
      <c r="H16" s="42">
        <v>9341</v>
      </c>
      <c r="I16" s="42"/>
      <c r="J16" s="42">
        <v>2544</v>
      </c>
      <c r="K16" s="42"/>
      <c r="L16" s="42"/>
      <c r="M16" s="46"/>
      <c r="N16" s="42">
        <f t="shared" si="0"/>
        <v>168007</v>
      </c>
      <c r="O16" s="85">
        <v>22</v>
      </c>
      <c r="Q16" s="141"/>
      <c r="R16" s="143"/>
      <c r="S16" s="143"/>
      <c r="T16" s="140"/>
      <c r="U16" s="140"/>
      <c r="V16" s="140"/>
      <c r="W16" s="143"/>
      <c r="X16" s="140"/>
      <c r="Y16" s="143"/>
      <c r="Z16" s="52"/>
      <c r="AA16" s="143"/>
      <c r="AB16" s="140"/>
      <c r="AC16" s="143"/>
      <c r="AD16" s="142"/>
    </row>
    <row r="17" spans="2:30" ht="15.75">
      <c r="B17" s="37" t="s">
        <v>112</v>
      </c>
      <c r="C17" s="42">
        <v>81618</v>
      </c>
      <c r="D17" s="42">
        <v>40003</v>
      </c>
      <c r="E17" s="42"/>
      <c r="F17" s="42"/>
      <c r="G17" s="42"/>
      <c r="H17" s="42">
        <v>3878</v>
      </c>
      <c r="I17" s="42"/>
      <c r="J17" s="42">
        <v>858</v>
      </c>
      <c r="K17" s="42">
        <v>1210</v>
      </c>
      <c r="L17" s="42"/>
      <c r="M17" s="46"/>
      <c r="N17" s="42">
        <f t="shared" si="0"/>
        <v>127567</v>
      </c>
      <c r="O17" s="85">
        <v>26.63</v>
      </c>
      <c r="Q17" s="141"/>
      <c r="R17" s="52"/>
      <c r="S17" s="52"/>
      <c r="T17" s="140"/>
      <c r="U17" s="140"/>
      <c r="V17" s="140"/>
      <c r="W17" s="52"/>
      <c r="X17" s="140"/>
      <c r="Y17" s="52"/>
      <c r="Z17" s="52"/>
      <c r="AA17" s="52"/>
      <c r="AB17" s="140"/>
      <c r="AC17" s="52"/>
      <c r="AD17" s="142"/>
    </row>
    <row r="18" spans="2:30" ht="15.75">
      <c r="B18" s="37" t="s">
        <v>113</v>
      </c>
      <c r="C18" s="42">
        <v>49533</v>
      </c>
      <c r="D18" s="42">
        <v>41309</v>
      </c>
      <c r="E18" s="42"/>
      <c r="F18" s="42"/>
      <c r="G18" s="42"/>
      <c r="H18" s="42">
        <v>2586</v>
      </c>
      <c r="I18" s="42"/>
      <c r="J18" s="42">
        <v>143</v>
      </c>
      <c r="K18" s="42">
        <v>2335</v>
      </c>
      <c r="L18" s="42"/>
      <c r="M18" s="46"/>
      <c r="N18" s="42">
        <f t="shared" si="0"/>
        <v>95906</v>
      </c>
      <c r="O18" s="85">
        <v>27.9</v>
      </c>
      <c r="Q18" s="141"/>
      <c r="R18" s="143"/>
      <c r="S18" s="143"/>
      <c r="T18" s="140"/>
      <c r="U18" s="140"/>
      <c r="V18" s="140"/>
      <c r="W18" s="143"/>
      <c r="X18" s="140"/>
      <c r="Y18" s="143"/>
      <c r="Z18" s="143"/>
      <c r="AA18" s="143"/>
      <c r="AB18" s="140"/>
      <c r="AC18" s="143"/>
      <c r="AD18" s="142"/>
    </row>
    <row r="19" spans="2:30" ht="15.75">
      <c r="B19" s="37" t="s">
        <v>114</v>
      </c>
      <c r="C19" s="42">
        <v>13813</v>
      </c>
      <c r="D19" s="42">
        <v>9704</v>
      </c>
      <c r="E19" s="42"/>
      <c r="F19" s="42"/>
      <c r="G19" s="42"/>
      <c r="H19" s="42">
        <v>1287</v>
      </c>
      <c r="I19" s="42"/>
      <c r="J19" s="42">
        <v>620</v>
      </c>
      <c r="K19" s="42">
        <v>198</v>
      </c>
      <c r="L19" s="42"/>
      <c r="M19" s="46"/>
      <c r="N19" s="42">
        <f t="shared" si="0"/>
        <v>25622</v>
      </c>
      <c r="O19" s="85">
        <v>-11.86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140"/>
      <c r="AC19" s="52"/>
      <c r="AD19" s="142"/>
    </row>
    <row r="20" spans="2:30" ht="15.75">
      <c r="B20" s="51" t="s">
        <v>115</v>
      </c>
      <c r="C20" s="42">
        <v>18881</v>
      </c>
      <c r="D20" s="42">
        <v>175</v>
      </c>
      <c r="E20" s="42"/>
      <c r="F20" s="42"/>
      <c r="G20" s="42"/>
      <c r="H20" s="42">
        <v>1253</v>
      </c>
      <c r="I20" s="42"/>
      <c r="J20" s="42">
        <v>7</v>
      </c>
      <c r="K20" s="42">
        <v>60</v>
      </c>
      <c r="L20" s="42"/>
      <c r="M20" s="46"/>
      <c r="N20" s="42">
        <f t="shared" si="0"/>
        <v>20376</v>
      </c>
      <c r="O20" s="85">
        <v>-6.8</v>
      </c>
      <c r="Q20" s="137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45"/>
    </row>
    <row r="21" spans="2:30" ht="16.5">
      <c r="B21" s="95" t="s">
        <v>6</v>
      </c>
      <c r="C21" s="96">
        <f aca="true" t="shared" si="1" ref="C21:N21">SUM(C9:C20)</f>
        <v>628568</v>
      </c>
      <c r="D21" s="96">
        <f t="shared" si="1"/>
        <v>288213</v>
      </c>
      <c r="E21" s="96">
        <f t="shared" si="1"/>
        <v>0</v>
      </c>
      <c r="F21" s="96">
        <f t="shared" si="1"/>
        <v>0</v>
      </c>
      <c r="G21" s="96">
        <f t="shared" si="1"/>
        <v>0</v>
      </c>
      <c r="H21" s="96">
        <f t="shared" si="1"/>
        <v>40999</v>
      </c>
      <c r="I21" s="96">
        <f t="shared" si="1"/>
        <v>0</v>
      </c>
      <c r="J21" s="96">
        <f t="shared" si="1"/>
        <v>5031</v>
      </c>
      <c r="K21" s="96">
        <f t="shared" si="1"/>
        <v>7961</v>
      </c>
      <c r="L21" s="96">
        <f t="shared" si="1"/>
        <v>0</v>
      </c>
      <c r="M21" s="96">
        <f t="shared" si="1"/>
        <v>0</v>
      </c>
      <c r="N21" s="96">
        <f t="shared" si="1"/>
        <v>970772</v>
      </c>
      <c r="O21" s="94">
        <v>24.91</v>
      </c>
      <c r="Q21" s="136"/>
      <c r="R21" s="136"/>
      <c r="S21" s="136"/>
      <c r="T21" s="136"/>
      <c r="U21" s="136"/>
      <c r="V21" s="136"/>
      <c r="W21" s="136"/>
      <c r="X21" s="136"/>
      <c r="Y21" s="136"/>
      <c r="Z21" s="135"/>
      <c r="AA21" s="1"/>
      <c r="AB21" s="1"/>
      <c r="AC21" s="1"/>
      <c r="AD21" s="1"/>
    </row>
    <row r="22" spans="17:30" ht="12.75"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2:30" ht="15.75">
      <c r="B23" s="50"/>
      <c r="C23" s="46"/>
      <c r="D23" s="46">
        <f>SUM(D21:M21)</f>
        <v>342204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3"/>
      <c r="Q23" s="137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9"/>
    </row>
    <row r="24" spans="2:15" ht="15.75">
      <c r="B24" s="92">
        <v>2008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4" t="s">
        <v>136</v>
      </c>
    </row>
    <row r="25" spans="2:15" ht="15.75">
      <c r="B25" s="86" t="s">
        <v>104</v>
      </c>
      <c r="C25" s="42">
        <v>11639</v>
      </c>
      <c r="D25" s="42">
        <v>9514</v>
      </c>
      <c r="E25" s="42"/>
      <c r="F25" s="42"/>
      <c r="G25" s="42"/>
      <c r="H25" s="42">
        <v>1575</v>
      </c>
      <c r="I25" s="42"/>
      <c r="J25" s="42">
        <v>57</v>
      </c>
      <c r="K25" s="42"/>
      <c r="L25" s="42"/>
      <c r="M25" s="46"/>
      <c r="N25" s="42">
        <f aca="true" t="shared" si="2" ref="N25:N32">SUM(C25:L25)</f>
        <v>22785</v>
      </c>
      <c r="O25" s="85">
        <f aca="true" t="shared" si="3" ref="O25:O37">(N25-N9)*100/N9</f>
        <v>16.99614890885751</v>
      </c>
    </row>
    <row r="26" spans="2:15" ht="15.75">
      <c r="B26" s="86" t="s">
        <v>105</v>
      </c>
      <c r="C26" s="42">
        <v>16001</v>
      </c>
      <c r="D26" s="42">
        <v>6734</v>
      </c>
      <c r="E26" s="42"/>
      <c r="F26" s="42">
        <v>164</v>
      </c>
      <c r="G26" s="42"/>
      <c r="H26" s="42">
        <v>1093</v>
      </c>
      <c r="I26" s="42"/>
      <c r="J26" s="42">
        <v>54</v>
      </c>
      <c r="K26" s="42"/>
      <c r="L26" s="42"/>
      <c r="M26" s="46"/>
      <c r="N26" s="42">
        <f t="shared" si="2"/>
        <v>24046</v>
      </c>
      <c r="O26" s="85">
        <f t="shared" si="3"/>
        <v>-3.988820123777201</v>
      </c>
    </row>
    <row r="27" spans="2:15" ht="15.75">
      <c r="B27" s="86" t="s">
        <v>106</v>
      </c>
      <c r="C27" s="42">
        <v>26835</v>
      </c>
      <c r="D27" s="42">
        <v>12438</v>
      </c>
      <c r="E27" s="42"/>
      <c r="F27" s="42">
        <v>117</v>
      </c>
      <c r="G27" s="42"/>
      <c r="H27" s="42">
        <v>2254</v>
      </c>
      <c r="I27" s="42"/>
      <c r="J27" s="42">
        <v>867</v>
      </c>
      <c r="K27" s="42"/>
      <c r="L27" s="42"/>
      <c r="M27" s="46"/>
      <c r="N27" s="42">
        <f t="shared" si="2"/>
        <v>42511</v>
      </c>
      <c r="O27" s="85">
        <f t="shared" si="3"/>
        <v>3.9642944485204206</v>
      </c>
    </row>
    <row r="28" spans="2:15" ht="15.75">
      <c r="B28" s="37" t="s">
        <v>107</v>
      </c>
      <c r="C28" s="42">
        <v>39381</v>
      </c>
      <c r="D28" s="42">
        <v>21096</v>
      </c>
      <c r="E28" s="46"/>
      <c r="F28" s="42">
        <v>115</v>
      </c>
      <c r="G28" s="46"/>
      <c r="H28" s="42">
        <v>2879</v>
      </c>
      <c r="I28" s="46"/>
      <c r="J28" s="42">
        <v>261</v>
      </c>
      <c r="K28" s="42"/>
      <c r="L28" s="42"/>
      <c r="M28" s="46"/>
      <c r="N28" s="42">
        <f t="shared" si="2"/>
        <v>63732</v>
      </c>
      <c r="O28" s="85">
        <f t="shared" si="3"/>
        <v>24.321161048689138</v>
      </c>
    </row>
    <row r="29" spans="2:15" ht="15.75">
      <c r="B29" s="37" t="s">
        <v>108</v>
      </c>
      <c r="C29" s="42">
        <v>76453</v>
      </c>
      <c r="D29" s="42">
        <v>37453</v>
      </c>
      <c r="E29" s="42"/>
      <c r="F29" s="42">
        <v>185</v>
      </c>
      <c r="G29" s="42"/>
      <c r="H29" s="42">
        <v>3905</v>
      </c>
      <c r="I29" s="42"/>
      <c r="J29" s="42">
        <v>1046</v>
      </c>
      <c r="K29" s="42"/>
      <c r="L29" s="42"/>
      <c r="M29" s="46"/>
      <c r="N29" s="42">
        <f t="shared" si="2"/>
        <v>119042</v>
      </c>
      <c r="O29" s="85">
        <f t="shared" si="3"/>
        <v>37.87104918754271</v>
      </c>
    </row>
    <row r="30" spans="2:15" ht="15.75">
      <c r="B30" s="37" t="s">
        <v>109</v>
      </c>
      <c r="C30" s="42">
        <v>100337</v>
      </c>
      <c r="D30" s="42">
        <v>35041</v>
      </c>
      <c r="E30" s="42"/>
      <c r="F30" s="42">
        <v>183</v>
      </c>
      <c r="G30" s="42"/>
      <c r="H30" s="42">
        <v>4892</v>
      </c>
      <c r="I30" s="42"/>
      <c r="J30" s="42">
        <v>538</v>
      </c>
      <c r="K30" s="42"/>
      <c r="L30" s="42"/>
      <c r="M30" s="46"/>
      <c r="N30" s="42">
        <f t="shared" si="2"/>
        <v>140991</v>
      </c>
      <c r="O30" s="85">
        <f t="shared" si="3"/>
        <v>3.8577132165534715</v>
      </c>
    </row>
    <row r="31" spans="2:15" ht="15.75">
      <c r="B31" s="40" t="s">
        <v>110</v>
      </c>
      <c r="C31" s="42">
        <v>134786</v>
      </c>
      <c r="D31" s="42">
        <v>36153</v>
      </c>
      <c r="E31" s="46"/>
      <c r="F31" s="42">
        <v>212</v>
      </c>
      <c r="G31" s="46"/>
      <c r="H31" s="42">
        <v>8793</v>
      </c>
      <c r="I31" s="46"/>
      <c r="J31" s="42">
        <v>2441</v>
      </c>
      <c r="K31" s="42"/>
      <c r="L31" s="42"/>
      <c r="M31" s="46"/>
      <c r="N31" s="42">
        <f t="shared" si="2"/>
        <v>182385</v>
      </c>
      <c r="O31" s="85">
        <f t="shared" si="3"/>
        <v>4.5048503635623955</v>
      </c>
    </row>
    <row r="32" spans="2:15" ht="15.75">
      <c r="B32" s="37" t="s">
        <v>111</v>
      </c>
      <c r="C32" s="42">
        <v>119217</v>
      </c>
      <c r="D32" s="42">
        <v>37121</v>
      </c>
      <c r="E32" s="42"/>
      <c r="F32" s="42">
        <v>165</v>
      </c>
      <c r="G32" s="42"/>
      <c r="H32" s="42">
        <v>9864</v>
      </c>
      <c r="I32" s="42"/>
      <c r="J32" s="42">
        <v>485</v>
      </c>
      <c r="K32" s="42"/>
      <c r="L32" s="42"/>
      <c r="M32" s="46"/>
      <c r="N32" s="42">
        <f t="shared" si="2"/>
        <v>166852</v>
      </c>
      <c r="O32" s="85">
        <f t="shared" si="3"/>
        <v>-0.6874713553601933</v>
      </c>
    </row>
    <row r="33" spans="2:15" ht="15.75">
      <c r="B33" s="37" t="s">
        <v>112</v>
      </c>
      <c r="C33" s="42">
        <v>85156</v>
      </c>
      <c r="D33" s="42">
        <v>41454</v>
      </c>
      <c r="E33" s="42"/>
      <c r="F33" s="42">
        <v>161</v>
      </c>
      <c r="G33" s="42"/>
      <c r="H33" s="42">
        <v>4125</v>
      </c>
      <c r="I33" s="42"/>
      <c r="J33" s="42">
        <v>234</v>
      </c>
      <c r="K33" s="42">
        <v>425</v>
      </c>
      <c r="L33" s="42"/>
      <c r="M33" s="46"/>
      <c r="N33" s="42">
        <f>SUM(C33:M33)</f>
        <v>131555</v>
      </c>
      <c r="O33" s="85">
        <f t="shared" si="3"/>
        <v>3.1262003496201998</v>
      </c>
    </row>
    <row r="34" spans="2:15" ht="15.75">
      <c r="B34" s="37" t="s">
        <v>113</v>
      </c>
      <c r="C34" s="42">
        <v>52310</v>
      </c>
      <c r="D34" s="42">
        <v>52474</v>
      </c>
      <c r="E34" s="42"/>
      <c r="F34" s="42">
        <v>116</v>
      </c>
      <c r="G34" s="42"/>
      <c r="H34" s="42">
        <v>3137</v>
      </c>
      <c r="I34" s="42"/>
      <c r="J34" s="42">
        <v>210</v>
      </c>
      <c r="K34" s="42">
        <v>67</v>
      </c>
      <c r="L34" s="42">
        <v>16</v>
      </c>
      <c r="M34" s="46"/>
      <c r="N34" s="42">
        <f>SUM(C34:M34)</f>
        <v>108330</v>
      </c>
      <c r="O34" s="85">
        <f t="shared" si="3"/>
        <v>12.954351135486831</v>
      </c>
    </row>
    <row r="35" spans="2:15" ht="15.75">
      <c r="B35" s="37" t="s">
        <v>114</v>
      </c>
      <c r="C35" s="42">
        <v>15444</v>
      </c>
      <c r="D35" s="42">
        <v>21170</v>
      </c>
      <c r="E35" s="42"/>
      <c r="F35" s="42">
        <v>86</v>
      </c>
      <c r="G35" s="42"/>
      <c r="H35" s="42">
        <v>1228</v>
      </c>
      <c r="I35" s="42"/>
      <c r="J35" s="42">
        <v>104</v>
      </c>
      <c r="K35" s="42">
        <v>4752</v>
      </c>
      <c r="L35" s="42"/>
      <c r="M35" s="46"/>
      <c r="N35" s="42">
        <f>SUM(C35:M35)</f>
        <v>42784</v>
      </c>
      <c r="O35" s="85">
        <f t="shared" si="3"/>
        <v>66.98150027320271</v>
      </c>
    </row>
    <row r="36" spans="2:15" ht="15.75">
      <c r="B36" s="51" t="s">
        <v>115</v>
      </c>
      <c r="C36" s="42">
        <v>19874</v>
      </c>
      <c r="D36" s="42">
        <v>8194</v>
      </c>
      <c r="E36" s="42"/>
      <c r="F36" s="42">
        <v>179</v>
      </c>
      <c r="G36" s="42"/>
      <c r="H36" s="42">
        <v>799</v>
      </c>
      <c r="I36" s="42"/>
      <c r="J36" s="42">
        <v>29</v>
      </c>
      <c r="K36" s="42"/>
      <c r="L36" s="42"/>
      <c r="M36" s="46"/>
      <c r="N36" s="42">
        <f>SUM(C36:M36)</f>
        <v>29075</v>
      </c>
      <c r="O36" s="85">
        <f t="shared" si="3"/>
        <v>42.69238319591676</v>
      </c>
    </row>
    <row r="37" spans="2:15" ht="15.75">
      <c r="B37" s="95" t="s">
        <v>6</v>
      </c>
      <c r="C37" s="96">
        <f>SUM(C25:C36)</f>
        <v>697433</v>
      </c>
      <c r="D37" s="96">
        <f aca="true" t="shared" si="4" ref="D37:J37">SUM(D25:D36)</f>
        <v>318842</v>
      </c>
      <c r="E37" s="96">
        <f t="shared" si="4"/>
        <v>0</v>
      </c>
      <c r="F37" s="96">
        <f t="shared" si="4"/>
        <v>1683</v>
      </c>
      <c r="G37" s="96">
        <f t="shared" si="4"/>
        <v>0</v>
      </c>
      <c r="H37" s="96">
        <f t="shared" si="4"/>
        <v>44544</v>
      </c>
      <c r="I37" s="96">
        <f t="shared" si="4"/>
        <v>0</v>
      </c>
      <c r="J37" s="96">
        <f t="shared" si="4"/>
        <v>6326</v>
      </c>
      <c r="K37" s="96">
        <f>SUM(K25:K36)</f>
        <v>5244</v>
      </c>
      <c r="L37" s="96">
        <f>SUM(L25:L36)</f>
        <v>16</v>
      </c>
      <c r="M37" s="96">
        <f>SUM(M25:M36)</f>
        <v>0</v>
      </c>
      <c r="N37" s="96">
        <f>SUM(C37:M37)</f>
        <v>1074088</v>
      </c>
      <c r="O37" s="85">
        <f t="shared" si="3"/>
        <v>10.642663776870368</v>
      </c>
    </row>
    <row r="38" spans="2:15" ht="15.75">
      <c r="B38" s="50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3"/>
    </row>
    <row r="39" spans="2:15" ht="12.75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</row>
    <row r="40" spans="2:15" ht="15.75">
      <c r="B40" s="42">
        <v>2009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42" t="s">
        <v>188</v>
      </c>
    </row>
    <row r="41" spans="2:15" ht="15.75">
      <c r="B41" s="38" t="s">
        <v>104</v>
      </c>
      <c r="C41" s="42">
        <v>13464</v>
      </c>
      <c r="D41" s="42">
        <v>14926</v>
      </c>
      <c r="E41" s="42"/>
      <c r="F41" s="42">
        <v>83</v>
      </c>
      <c r="G41" s="42"/>
      <c r="H41" s="42">
        <v>939</v>
      </c>
      <c r="I41" s="42"/>
      <c r="J41" s="42">
        <v>45</v>
      </c>
      <c r="K41" s="42"/>
      <c r="L41" s="42"/>
      <c r="M41" s="42"/>
      <c r="N41" s="42">
        <f aca="true" t="shared" si="5" ref="N41:N49">SUM(C41:M41)</f>
        <v>29457</v>
      </c>
      <c r="O41" s="85">
        <f aca="true" t="shared" si="6" ref="O41:O52">(N41-N25)*100/N25</f>
        <v>29.282422646477947</v>
      </c>
    </row>
    <row r="42" spans="2:15" ht="15.75">
      <c r="B42" s="38" t="s">
        <v>105</v>
      </c>
      <c r="C42" s="42">
        <v>16401</v>
      </c>
      <c r="D42" s="42">
        <v>89</v>
      </c>
      <c r="E42" s="42">
        <v>12509</v>
      </c>
      <c r="F42" s="42">
        <v>99</v>
      </c>
      <c r="G42" s="42"/>
      <c r="H42" s="42">
        <v>1060</v>
      </c>
      <c r="I42" s="42"/>
      <c r="J42" s="42">
        <v>3</v>
      </c>
      <c r="K42" s="42">
        <v>50</v>
      </c>
      <c r="L42" s="42"/>
      <c r="M42" s="42"/>
      <c r="N42" s="42">
        <f t="shared" si="5"/>
        <v>30211</v>
      </c>
      <c r="O42" s="85">
        <f t="shared" si="6"/>
        <v>25.638359810363472</v>
      </c>
    </row>
    <row r="43" spans="2:15" ht="15.75">
      <c r="B43" s="38" t="s">
        <v>106</v>
      </c>
      <c r="C43" s="45">
        <v>21834</v>
      </c>
      <c r="D43" s="42">
        <v>437</v>
      </c>
      <c r="E43" s="42">
        <v>8672</v>
      </c>
      <c r="F43" s="42">
        <v>143</v>
      </c>
      <c r="G43" s="42"/>
      <c r="H43" s="42">
        <v>1385</v>
      </c>
      <c r="I43" s="42"/>
      <c r="J43" s="42">
        <v>37</v>
      </c>
      <c r="K43" s="42">
        <v>684</v>
      </c>
      <c r="L43" s="42"/>
      <c r="M43" s="42"/>
      <c r="N43" s="42">
        <f t="shared" si="5"/>
        <v>33192</v>
      </c>
      <c r="O43" s="85">
        <f t="shared" si="6"/>
        <v>-21.92138505328033</v>
      </c>
    </row>
    <row r="44" spans="2:15" ht="15.75">
      <c r="B44" s="38" t="s">
        <v>107</v>
      </c>
      <c r="C44" s="45">
        <v>47976</v>
      </c>
      <c r="D44" s="42">
        <v>61</v>
      </c>
      <c r="E44" s="42">
        <v>26853</v>
      </c>
      <c r="F44" s="42">
        <v>93</v>
      </c>
      <c r="G44" s="42"/>
      <c r="H44" s="42">
        <v>2450</v>
      </c>
      <c r="I44" s="42"/>
      <c r="J44" s="42">
        <v>87</v>
      </c>
      <c r="K44" s="42">
        <v>130</v>
      </c>
      <c r="L44" s="42"/>
      <c r="M44" s="42"/>
      <c r="N44" s="42">
        <f t="shared" si="5"/>
        <v>77650</v>
      </c>
      <c r="O44" s="85">
        <f t="shared" si="6"/>
        <v>21.83832297746815</v>
      </c>
    </row>
    <row r="45" spans="2:15" ht="15.75">
      <c r="B45" s="38" t="s">
        <v>108</v>
      </c>
      <c r="C45" s="45">
        <v>74463</v>
      </c>
      <c r="D45" s="42">
        <v>69</v>
      </c>
      <c r="E45" s="42">
        <v>31266</v>
      </c>
      <c r="F45" s="42">
        <v>301</v>
      </c>
      <c r="G45" s="42"/>
      <c r="H45" s="42">
        <v>3639</v>
      </c>
      <c r="I45" s="42"/>
      <c r="J45" s="42">
        <v>175</v>
      </c>
      <c r="K45" s="42">
        <v>391</v>
      </c>
      <c r="L45" s="42"/>
      <c r="M45" s="42"/>
      <c r="N45" s="42">
        <f t="shared" si="5"/>
        <v>110304</v>
      </c>
      <c r="O45" s="85">
        <f t="shared" si="6"/>
        <v>-7.340266460576939</v>
      </c>
    </row>
    <row r="46" spans="2:15" ht="15.75">
      <c r="B46" s="38" t="s">
        <v>109</v>
      </c>
      <c r="C46" s="45">
        <v>91617</v>
      </c>
      <c r="D46" s="42">
        <v>109</v>
      </c>
      <c r="E46" s="42">
        <v>36550</v>
      </c>
      <c r="F46" s="42">
        <v>282</v>
      </c>
      <c r="G46" s="42"/>
      <c r="H46" s="42">
        <v>6198</v>
      </c>
      <c r="I46" s="42"/>
      <c r="J46" s="42">
        <v>551</v>
      </c>
      <c r="K46" s="42">
        <v>1530</v>
      </c>
      <c r="L46" s="42"/>
      <c r="M46" s="42">
        <v>38</v>
      </c>
      <c r="N46" s="42">
        <f t="shared" si="5"/>
        <v>136875</v>
      </c>
      <c r="O46" s="85">
        <f t="shared" si="6"/>
        <v>-2.9193352767197904</v>
      </c>
    </row>
    <row r="47" spans="2:15" ht="15.75">
      <c r="B47" s="38" t="s">
        <v>110</v>
      </c>
      <c r="C47" s="45">
        <v>129009</v>
      </c>
      <c r="D47" s="42">
        <v>135</v>
      </c>
      <c r="E47" s="42">
        <v>35540</v>
      </c>
      <c r="F47" s="42">
        <v>254</v>
      </c>
      <c r="G47" s="42"/>
      <c r="H47" s="42">
        <v>9262</v>
      </c>
      <c r="I47" s="42"/>
      <c r="J47" s="42">
        <v>645</v>
      </c>
      <c r="K47" s="42">
        <v>1590</v>
      </c>
      <c r="L47" s="42">
        <v>96</v>
      </c>
      <c r="M47" s="42"/>
      <c r="N47" s="42">
        <f t="shared" si="5"/>
        <v>176531</v>
      </c>
      <c r="O47" s="85">
        <f t="shared" si="6"/>
        <v>-3.2096937796419662</v>
      </c>
    </row>
    <row r="48" spans="2:15" ht="15.75">
      <c r="B48" s="38" t="s">
        <v>111</v>
      </c>
      <c r="C48" s="45">
        <v>105494</v>
      </c>
      <c r="D48" s="42">
        <v>89</v>
      </c>
      <c r="E48" s="42">
        <v>34703</v>
      </c>
      <c r="F48" s="42">
        <v>168</v>
      </c>
      <c r="G48" s="42"/>
      <c r="H48" s="42">
        <v>9688</v>
      </c>
      <c r="I48" s="42"/>
      <c r="J48" s="42">
        <v>515</v>
      </c>
      <c r="K48" s="42">
        <v>2437</v>
      </c>
      <c r="L48" s="42">
        <v>131</v>
      </c>
      <c r="M48" s="42"/>
      <c r="N48" s="42">
        <f t="shared" si="5"/>
        <v>153225</v>
      </c>
      <c r="O48" s="85">
        <f t="shared" si="6"/>
        <v>-8.167118164600964</v>
      </c>
    </row>
    <row r="49" spans="2:15" ht="15.75">
      <c r="B49" s="38" t="s">
        <v>112</v>
      </c>
      <c r="C49" s="45">
        <v>85984</v>
      </c>
      <c r="D49" s="42">
        <v>83</v>
      </c>
      <c r="E49" s="42">
        <v>41120</v>
      </c>
      <c r="F49" s="42">
        <v>137</v>
      </c>
      <c r="G49" s="42"/>
      <c r="H49" s="42">
        <v>4881</v>
      </c>
      <c r="I49" s="42"/>
      <c r="J49" s="42">
        <v>601</v>
      </c>
      <c r="K49" s="42">
        <v>1685</v>
      </c>
      <c r="L49" s="42">
        <v>23</v>
      </c>
      <c r="M49" s="42"/>
      <c r="N49" s="42">
        <f t="shared" si="5"/>
        <v>134514</v>
      </c>
      <c r="O49" s="85">
        <f t="shared" si="6"/>
        <v>2.249249363384136</v>
      </c>
    </row>
    <row r="50" spans="2:15" ht="15.75">
      <c r="B50" s="38" t="s">
        <v>113</v>
      </c>
      <c r="C50" s="45">
        <v>59434</v>
      </c>
      <c r="D50" s="42">
        <v>136</v>
      </c>
      <c r="E50" s="42">
        <v>37375</v>
      </c>
      <c r="F50" s="42">
        <v>166</v>
      </c>
      <c r="G50" s="42"/>
      <c r="H50" s="42">
        <v>2102</v>
      </c>
      <c r="I50" s="42"/>
      <c r="J50" s="42">
        <v>243</v>
      </c>
      <c r="K50" s="42">
        <v>270</v>
      </c>
      <c r="L50" s="42">
        <v>38</v>
      </c>
      <c r="M50" s="42">
        <v>0</v>
      </c>
      <c r="N50" s="42">
        <v>99764</v>
      </c>
      <c r="O50" s="85">
        <f t="shared" si="6"/>
        <v>-7.9073202252377</v>
      </c>
    </row>
    <row r="51" spans="2:15" ht="15.75">
      <c r="B51" s="38" t="s">
        <v>114</v>
      </c>
      <c r="C51" s="45">
        <f>'Giriş İstatistikleri'!E52</f>
        <v>20658</v>
      </c>
      <c r="D51" s="42">
        <f>'Giriş İstatistikleri'!H52</f>
        <v>84</v>
      </c>
      <c r="E51" s="42">
        <f>'Giriş İstatistikleri'!J52</f>
        <v>17882</v>
      </c>
      <c r="F51" s="42">
        <f>'Giriş İstatistikleri'!K52</f>
        <v>194</v>
      </c>
      <c r="G51" s="42"/>
      <c r="H51" s="42">
        <f>'Giriş İstatistikleri'!N52</f>
        <v>1250</v>
      </c>
      <c r="I51" s="42"/>
      <c r="J51" s="42">
        <f>'Giriş İstatistikleri'!Q52</f>
        <v>0</v>
      </c>
      <c r="K51" s="42">
        <f>'Giriş İstatistikleri'!S52</f>
        <v>2149</v>
      </c>
      <c r="L51" s="42">
        <f>'Giriş İstatistikleri'!T52</f>
        <v>0</v>
      </c>
      <c r="M51" s="42">
        <f>'Giriş İstatistikleri'!V52</f>
        <v>0</v>
      </c>
      <c r="N51" s="42">
        <f>SUM(C51:M51)</f>
        <v>42217</v>
      </c>
      <c r="O51" s="85">
        <f t="shared" si="6"/>
        <v>-1.325261780104712</v>
      </c>
    </row>
    <row r="52" spans="2:15" ht="15.75">
      <c r="B52" s="42" t="s">
        <v>115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85">
        <f t="shared" si="6"/>
        <v>-100</v>
      </c>
    </row>
    <row r="53" spans="2:30" ht="16.5">
      <c r="B53" s="95" t="s">
        <v>6</v>
      </c>
      <c r="C53" s="96">
        <f>SUM(C41:C52)</f>
        <v>666334</v>
      </c>
      <c r="D53" s="96">
        <f aca="true" t="shared" si="7" ref="D53:M53">SUM(D41:D52)</f>
        <v>16218</v>
      </c>
      <c r="E53" s="96">
        <f t="shared" si="7"/>
        <v>282470</v>
      </c>
      <c r="F53" s="96">
        <f t="shared" si="7"/>
        <v>1920</v>
      </c>
      <c r="G53" s="96">
        <f t="shared" si="7"/>
        <v>0</v>
      </c>
      <c r="H53" s="96">
        <f t="shared" si="7"/>
        <v>42854</v>
      </c>
      <c r="I53" s="96">
        <f t="shared" si="7"/>
        <v>0</v>
      </c>
      <c r="J53" s="96">
        <f t="shared" si="7"/>
        <v>2902</v>
      </c>
      <c r="K53" s="96">
        <f t="shared" si="7"/>
        <v>10916</v>
      </c>
      <c r="L53" s="96">
        <f t="shared" si="7"/>
        <v>288</v>
      </c>
      <c r="M53" s="96">
        <f t="shared" si="7"/>
        <v>38</v>
      </c>
      <c r="N53" s="96">
        <f>SUM(N41:N52)</f>
        <v>1023940</v>
      </c>
      <c r="O53" s="94"/>
      <c r="Q53" s="136"/>
      <c r="R53" s="136"/>
      <c r="S53" s="136"/>
      <c r="T53" s="136"/>
      <c r="U53" s="136"/>
      <c r="V53" s="136"/>
      <c r="W53" s="136"/>
      <c r="X53" s="136"/>
      <c r="Y53" s="136"/>
      <c r="Z53" s="135"/>
      <c r="AA53" s="1"/>
      <c r="AB53" s="1"/>
      <c r="AC53" s="1"/>
      <c r="AD53" s="1"/>
    </row>
    <row r="54" spans="2:15" ht="15.75"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46"/>
      <c r="N54" s="38"/>
      <c r="O54" s="87"/>
    </row>
    <row r="55" spans="2:15" ht="15.75">
      <c r="B55" s="49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6"/>
      <c r="N55" s="47"/>
      <c r="O55" s="87"/>
    </row>
    <row r="56" spans="2:15" ht="15.75">
      <c r="B56" s="396" t="s">
        <v>128</v>
      </c>
      <c r="C56" s="397"/>
      <c r="D56" s="397"/>
      <c r="E56" s="397"/>
      <c r="F56" s="397"/>
      <c r="G56" s="397"/>
      <c r="H56" s="397"/>
      <c r="I56" s="397"/>
      <c r="J56" s="397"/>
      <c r="K56" s="397"/>
      <c r="L56" s="397"/>
      <c r="M56" s="397"/>
      <c r="N56" s="397"/>
      <c r="O56" s="398"/>
    </row>
    <row r="57" spans="2:15" ht="16.5" thickBot="1">
      <c r="B57" s="88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90"/>
    </row>
  </sheetData>
  <sheetProtection/>
  <mergeCells count="14">
    <mergeCell ref="B56:O56"/>
    <mergeCell ref="L4:M4"/>
    <mergeCell ref="L5:M5"/>
    <mergeCell ref="J4:K4"/>
    <mergeCell ref="J5:K5"/>
    <mergeCell ref="H4:I4"/>
    <mergeCell ref="H5:I5"/>
    <mergeCell ref="F4:G4"/>
    <mergeCell ref="F5:G5"/>
    <mergeCell ref="D4:E4"/>
    <mergeCell ref="D5:E5"/>
    <mergeCell ref="B3:O3"/>
    <mergeCell ref="B4:B5"/>
    <mergeCell ref="N4:N5"/>
  </mergeCells>
  <printOptions horizontalCentered="1"/>
  <pageMargins left="0" right="0" top="0" bottom="0" header="0" footer="0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5" width="9.8515625" style="0" bestFit="1" customWidth="1"/>
  </cols>
  <sheetData>
    <row r="1" spans="1:7" ht="12.75">
      <c r="A1" s="407" t="s">
        <v>253</v>
      </c>
      <c r="B1" s="407"/>
      <c r="C1" s="407"/>
      <c r="D1" s="407"/>
      <c r="E1" s="407"/>
      <c r="F1" s="407"/>
      <c r="G1" s="167"/>
    </row>
    <row r="2" spans="1:7" ht="13.5" thickBot="1">
      <c r="A2" s="168"/>
      <c r="B2" s="168"/>
      <c r="C2" s="168"/>
      <c r="D2" s="168"/>
      <c r="E2" s="168"/>
      <c r="F2" s="169"/>
      <c r="G2" s="169"/>
    </row>
    <row r="3" spans="1:6" ht="12.75">
      <c r="A3" s="198"/>
      <c r="B3" s="170"/>
      <c r="C3" s="170" t="s">
        <v>228</v>
      </c>
      <c r="D3" s="170"/>
      <c r="E3" s="403" t="s">
        <v>229</v>
      </c>
      <c r="F3" s="404"/>
    </row>
    <row r="4" spans="1:6" ht="13.5" thickBot="1">
      <c r="A4" s="199"/>
      <c r="B4" s="171"/>
      <c r="C4" s="172" t="s">
        <v>230</v>
      </c>
      <c r="D4" s="171"/>
      <c r="E4" s="405" t="s">
        <v>231</v>
      </c>
      <c r="F4" s="406"/>
    </row>
    <row r="5" spans="1:6" ht="13.5" thickBot="1">
      <c r="A5" s="200" t="s">
        <v>227</v>
      </c>
      <c r="B5" s="173">
        <v>2007</v>
      </c>
      <c r="C5" s="173">
        <v>2008</v>
      </c>
      <c r="D5" s="173">
        <v>2009</v>
      </c>
      <c r="E5" s="173" t="s">
        <v>232</v>
      </c>
      <c r="F5" s="201" t="s">
        <v>233</v>
      </c>
    </row>
    <row r="6" spans="1:6" ht="12.75">
      <c r="A6" s="202" t="s">
        <v>104</v>
      </c>
      <c r="B6" s="203">
        <v>19475</v>
      </c>
      <c r="C6" s="203">
        <v>22785</v>
      </c>
      <c r="D6" s="203">
        <v>29457</v>
      </c>
      <c r="E6" s="204">
        <f>((C6/B6)-1)*100</f>
        <v>16.9961489088575</v>
      </c>
      <c r="F6" s="205">
        <f>((D6/C6)-1)*100</f>
        <v>29.282422646477958</v>
      </c>
    </row>
    <row r="7" spans="1:6" ht="12.75">
      <c r="A7" s="202" t="s">
        <v>105</v>
      </c>
      <c r="B7" s="203">
        <v>25045</v>
      </c>
      <c r="C7" s="203">
        <v>24046</v>
      </c>
      <c r="D7" s="203">
        <v>30211</v>
      </c>
      <c r="E7" s="204">
        <f aca="true" t="shared" si="0" ref="E7:E18">((C7/B7)-1)*100</f>
        <v>-3.9888201237772036</v>
      </c>
      <c r="F7" s="205">
        <f aca="true" t="shared" si="1" ref="F7:F16">((D7/C7)-1)*100</f>
        <v>25.638359810363465</v>
      </c>
    </row>
    <row r="8" spans="1:6" ht="12.75">
      <c r="A8" s="202" t="s">
        <v>106</v>
      </c>
      <c r="B8" s="203">
        <v>40890</v>
      </c>
      <c r="C8" s="203">
        <v>42511</v>
      </c>
      <c r="D8" s="203">
        <v>33192</v>
      </c>
      <c r="E8" s="204">
        <f t="shared" si="0"/>
        <v>3.9642944485204223</v>
      </c>
      <c r="F8" s="205">
        <f t="shared" si="1"/>
        <v>-21.92138505328033</v>
      </c>
    </row>
    <row r="9" spans="1:6" ht="12.75">
      <c r="A9" s="202" t="s">
        <v>107</v>
      </c>
      <c r="B9" s="203">
        <v>51264</v>
      </c>
      <c r="C9" s="203">
        <v>63732</v>
      </c>
      <c r="D9" s="203">
        <v>77650</v>
      </c>
      <c r="E9" s="204">
        <f t="shared" si="0"/>
        <v>24.321161048689135</v>
      </c>
      <c r="F9" s="205">
        <f t="shared" si="1"/>
        <v>21.83832297746815</v>
      </c>
    </row>
    <row r="10" spans="1:6" ht="12.75">
      <c r="A10" s="202" t="s">
        <v>108</v>
      </c>
      <c r="B10" s="203">
        <v>86343</v>
      </c>
      <c r="C10" s="203">
        <v>119042</v>
      </c>
      <c r="D10" s="203">
        <v>110304</v>
      </c>
      <c r="E10" s="204">
        <f t="shared" si="0"/>
        <v>37.87104918754272</v>
      </c>
      <c r="F10" s="205">
        <f t="shared" si="1"/>
        <v>-7.340266460576938</v>
      </c>
    </row>
    <row r="11" spans="1:6" ht="12.75">
      <c r="A11" s="202" t="s">
        <v>109</v>
      </c>
      <c r="B11" s="203">
        <v>135754</v>
      </c>
      <c r="C11" s="203">
        <v>140991</v>
      </c>
      <c r="D11" s="203">
        <v>136875</v>
      </c>
      <c r="E11" s="204">
        <f t="shared" si="0"/>
        <v>3.857713216553482</v>
      </c>
      <c r="F11" s="205">
        <f t="shared" si="1"/>
        <v>-2.919335276719792</v>
      </c>
    </row>
    <row r="12" spans="1:6" ht="12.75">
      <c r="A12" s="202" t="s">
        <v>110</v>
      </c>
      <c r="B12" s="203">
        <v>174523</v>
      </c>
      <c r="C12" s="203">
        <v>182385</v>
      </c>
      <c r="D12" s="203">
        <v>176531</v>
      </c>
      <c r="E12" s="204">
        <f t="shared" si="0"/>
        <v>4.504850363562385</v>
      </c>
      <c r="F12" s="205">
        <f t="shared" si="1"/>
        <v>-3.2096937796419645</v>
      </c>
    </row>
    <row r="13" spans="1:6" ht="12.75">
      <c r="A13" s="202" t="s">
        <v>111</v>
      </c>
      <c r="B13" s="203">
        <v>168007</v>
      </c>
      <c r="C13" s="203">
        <v>166852</v>
      </c>
      <c r="D13" s="203">
        <v>153225</v>
      </c>
      <c r="E13" s="204">
        <f t="shared" si="0"/>
        <v>-0.6874713553601919</v>
      </c>
      <c r="F13" s="205">
        <f t="shared" si="1"/>
        <v>-8.16711816460096</v>
      </c>
    </row>
    <row r="14" spans="1:6" ht="12.75">
      <c r="A14" s="202" t="s">
        <v>112</v>
      </c>
      <c r="B14" s="203">
        <v>127567</v>
      </c>
      <c r="C14" s="203">
        <v>131555</v>
      </c>
      <c r="D14" s="203">
        <v>134514</v>
      </c>
      <c r="E14" s="204">
        <f t="shared" si="0"/>
        <v>3.1262003496201896</v>
      </c>
      <c r="F14" s="205">
        <f t="shared" si="1"/>
        <v>2.2492493633841315</v>
      </c>
    </row>
    <row r="15" spans="1:6" ht="12.75">
      <c r="A15" s="202" t="s">
        <v>113</v>
      </c>
      <c r="B15" s="203">
        <v>95906</v>
      </c>
      <c r="C15" s="203">
        <v>108330</v>
      </c>
      <c r="D15" s="203">
        <v>99764</v>
      </c>
      <c r="E15" s="204">
        <f t="shared" si="0"/>
        <v>12.954351135486842</v>
      </c>
      <c r="F15" s="205">
        <f t="shared" si="1"/>
        <v>-7.907320225237702</v>
      </c>
    </row>
    <row r="16" spans="1:6" ht="12.75">
      <c r="A16" s="202" t="s">
        <v>114</v>
      </c>
      <c r="B16" s="203">
        <v>25622</v>
      </c>
      <c r="C16" s="203">
        <v>42784</v>
      </c>
      <c r="D16" s="203">
        <f>'Giriş İstatistikleri'!W52</f>
        <v>42217</v>
      </c>
      <c r="E16" s="204">
        <f t="shared" si="0"/>
        <v>66.98150027320271</v>
      </c>
      <c r="F16" s="205">
        <f t="shared" si="1"/>
        <v>-1.325261780104714</v>
      </c>
    </row>
    <row r="17" spans="1:6" ht="13.5" thickBot="1">
      <c r="A17" s="206" t="s">
        <v>115</v>
      </c>
      <c r="B17" s="176">
        <v>20376</v>
      </c>
      <c r="C17" s="176">
        <v>29075</v>
      </c>
      <c r="D17" s="176"/>
      <c r="E17" s="174">
        <f t="shared" si="0"/>
        <v>42.692383195916776</v>
      </c>
      <c r="F17" s="207"/>
    </row>
    <row r="18" spans="1:6" ht="24.75" thickBot="1">
      <c r="A18" s="208" t="s">
        <v>306</v>
      </c>
      <c r="B18" s="209">
        <f>SUM(B6:B16)</f>
        <v>950396</v>
      </c>
      <c r="C18" s="209">
        <f>SUM(C6:C16)</f>
        <v>1045013</v>
      </c>
      <c r="D18" s="209">
        <f>SUM(D6:D16)</f>
        <v>1023940</v>
      </c>
      <c r="E18" s="210">
        <f t="shared" si="0"/>
        <v>9.955534324639403</v>
      </c>
      <c r="F18" s="211">
        <f>((D18/C18)-1)*100</f>
        <v>-2.016529937905076</v>
      </c>
    </row>
    <row r="19" spans="1:6" ht="13.5" thickBot="1">
      <c r="A19" s="212" t="s">
        <v>6</v>
      </c>
      <c r="B19" s="175">
        <f>SUM(B6:B17)</f>
        <v>970772</v>
      </c>
      <c r="C19" s="175">
        <f>SUM(C6:C17)</f>
        <v>1074088</v>
      </c>
      <c r="D19" s="175"/>
      <c r="E19" s="177">
        <f>((C19/B19)-1)*100</f>
        <v>10.642663776870375</v>
      </c>
      <c r="F19" s="213"/>
    </row>
    <row r="21" ht="12.75">
      <c r="D21" s="214"/>
    </row>
  </sheetData>
  <sheetProtection/>
  <mergeCells count="3">
    <mergeCell ref="E3:F3"/>
    <mergeCell ref="E4:F4"/>
    <mergeCell ref="A1:F1"/>
  </mergeCells>
  <printOptions horizontalCentered="1"/>
  <pageMargins left="0.7480314960629921" right="0.7480314960629921" top="1.968503937007874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22.00390625" style="0" bestFit="1" customWidth="1"/>
    <col min="2" max="3" width="7.00390625" style="0" bestFit="1" customWidth="1"/>
    <col min="4" max="4" width="7.8515625" style="0" bestFit="1" customWidth="1"/>
    <col min="5" max="7" width="6.28125" style="0" customWidth="1"/>
    <col min="8" max="9" width="9.421875" style="0" bestFit="1" customWidth="1"/>
  </cols>
  <sheetData>
    <row r="1" spans="1:9" ht="24.75" customHeight="1">
      <c r="A1" s="408" t="s">
        <v>307</v>
      </c>
      <c r="B1" s="408"/>
      <c r="C1" s="408"/>
      <c r="D1" s="408"/>
      <c r="E1" s="408"/>
      <c r="F1" s="408"/>
      <c r="G1" s="408"/>
      <c r="H1" s="408"/>
      <c r="I1" s="408"/>
    </row>
    <row r="2" spans="1:9" ht="13.5" thickBot="1">
      <c r="A2" s="409"/>
      <c r="B2" s="409"/>
      <c r="C2" s="409"/>
      <c r="D2" s="409"/>
      <c r="E2" s="409"/>
      <c r="F2" s="409"/>
      <c r="G2" s="409"/>
      <c r="H2" s="410"/>
      <c r="I2" s="410"/>
    </row>
    <row r="3" spans="1:9" ht="13.5" thickBot="1">
      <c r="A3" s="191"/>
      <c r="B3" s="411" t="s">
        <v>228</v>
      </c>
      <c r="C3" s="403"/>
      <c r="D3" s="404"/>
      <c r="E3" s="412" t="s">
        <v>234</v>
      </c>
      <c r="F3" s="413"/>
      <c r="G3" s="414"/>
      <c r="H3" s="411" t="s">
        <v>229</v>
      </c>
      <c r="I3" s="404"/>
    </row>
    <row r="4" spans="1:9" ht="13.5" thickBot="1">
      <c r="A4" s="192" t="s">
        <v>235</v>
      </c>
      <c r="B4" s="182">
        <v>2007</v>
      </c>
      <c r="C4" s="178">
        <v>2008</v>
      </c>
      <c r="D4" s="183">
        <v>2009</v>
      </c>
      <c r="E4" s="182">
        <v>2007</v>
      </c>
      <c r="F4" s="178">
        <v>2008</v>
      </c>
      <c r="G4" s="183">
        <v>2009</v>
      </c>
      <c r="H4" s="182" t="s">
        <v>232</v>
      </c>
      <c r="I4" s="183" t="s">
        <v>233</v>
      </c>
    </row>
    <row r="5" spans="1:9" ht="12.75">
      <c r="A5" s="193" t="s">
        <v>14</v>
      </c>
      <c r="B5" s="228">
        <v>9167</v>
      </c>
      <c r="C5" s="228">
        <v>12291</v>
      </c>
      <c r="D5" s="228">
        <v>14533</v>
      </c>
      <c r="E5" s="184">
        <f>(B5/$B$27)*100</f>
        <v>35.77784716259465</v>
      </c>
      <c r="F5" s="185">
        <f>(C5/$C$27)*100</f>
        <v>28.7280291697831</v>
      </c>
      <c r="G5" s="186">
        <f>(D5/$D$27)*100</f>
        <v>34.42452092758842</v>
      </c>
      <c r="H5" s="184">
        <f>((C5/B5)-1)*100</f>
        <v>34.078760772335556</v>
      </c>
      <c r="I5" s="186">
        <f>((D5/C5)-1)*100</f>
        <v>18.240989341794812</v>
      </c>
    </row>
    <row r="6" spans="1:9" ht="12.75">
      <c r="A6" s="194" t="s">
        <v>19</v>
      </c>
      <c r="B6" s="228">
        <v>1201</v>
      </c>
      <c r="C6" s="228">
        <v>1573</v>
      </c>
      <c r="D6" s="228">
        <v>2222</v>
      </c>
      <c r="E6" s="184">
        <f aca="true" t="shared" si="0" ref="E6:E27">(B6/$B$27)*100</f>
        <v>4.6873780345016</v>
      </c>
      <c r="F6" s="185">
        <f aca="true" t="shared" si="1" ref="F6:F27">(C6/$C$27)*100</f>
        <v>3.676608077786088</v>
      </c>
      <c r="G6" s="186">
        <f aca="true" t="shared" si="2" ref="G6:G27">(D6/$D$27)*100</f>
        <v>5.263282563896061</v>
      </c>
      <c r="H6" s="184">
        <f aca="true" t="shared" si="3" ref="H6:I29">((C6/B6)-1)*100</f>
        <v>30.974188176519558</v>
      </c>
      <c r="I6" s="186">
        <f t="shared" si="3"/>
        <v>41.25874125874125</v>
      </c>
    </row>
    <row r="7" spans="1:9" ht="12.75">
      <c r="A7" s="194" t="s">
        <v>31</v>
      </c>
      <c r="B7" s="228">
        <v>1590</v>
      </c>
      <c r="C7" s="228">
        <v>4325</v>
      </c>
      <c r="D7" s="228">
        <v>3783</v>
      </c>
      <c r="E7" s="184">
        <f t="shared" si="0"/>
        <v>6.205604558582468</v>
      </c>
      <c r="F7" s="185">
        <f t="shared" si="1"/>
        <v>10.108919222139118</v>
      </c>
      <c r="G7" s="186">
        <f t="shared" si="2"/>
        <v>8.960845157164176</v>
      </c>
      <c r="H7" s="184">
        <f t="shared" si="3"/>
        <v>172.01257861635222</v>
      </c>
      <c r="I7" s="186">
        <f t="shared" si="3"/>
        <v>-12.531791907514457</v>
      </c>
    </row>
    <row r="8" spans="1:9" ht="12.75">
      <c r="A8" s="194" t="s">
        <v>21</v>
      </c>
      <c r="B8" s="228">
        <v>1803</v>
      </c>
      <c r="C8" s="228">
        <v>4000</v>
      </c>
      <c r="D8" s="228">
        <v>3520</v>
      </c>
      <c r="E8" s="184">
        <f t="shared" si="0"/>
        <v>7.036921395675591</v>
      </c>
      <c r="F8" s="185">
        <f t="shared" si="1"/>
        <v>9.349289454001495</v>
      </c>
      <c r="G8" s="186">
        <f t="shared" si="2"/>
        <v>8.337873368548216</v>
      </c>
      <c r="H8" s="184">
        <f t="shared" si="3"/>
        <v>121.85246810870768</v>
      </c>
      <c r="I8" s="186">
        <f t="shared" si="3"/>
        <v>-12</v>
      </c>
    </row>
    <row r="9" spans="1:9" ht="12.75">
      <c r="A9" s="194" t="s">
        <v>20</v>
      </c>
      <c r="B9" s="228">
        <v>791</v>
      </c>
      <c r="C9" s="228">
        <v>1339</v>
      </c>
      <c r="D9" s="228">
        <v>1655</v>
      </c>
      <c r="E9" s="184">
        <f t="shared" si="0"/>
        <v>3.087190695496058</v>
      </c>
      <c r="F9" s="185">
        <f t="shared" si="1"/>
        <v>3.1296746447270007</v>
      </c>
      <c r="G9" s="186">
        <f t="shared" si="2"/>
        <v>3.9202217116327542</v>
      </c>
      <c r="H9" s="184">
        <f t="shared" si="3"/>
        <v>69.27939317319849</v>
      </c>
      <c r="I9" s="186">
        <f t="shared" si="3"/>
        <v>23.59970126960418</v>
      </c>
    </row>
    <row r="10" spans="1:9" ht="12.75">
      <c r="A10" s="194" t="s">
        <v>25</v>
      </c>
      <c r="B10" s="228">
        <v>369</v>
      </c>
      <c r="C10" s="228">
        <v>484</v>
      </c>
      <c r="D10" s="228">
        <v>511</v>
      </c>
      <c r="E10" s="184">
        <f t="shared" si="0"/>
        <v>1.4401686051049878</v>
      </c>
      <c r="F10" s="185">
        <f t="shared" si="1"/>
        <v>1.1312640239341811</v>
      </c>
      <c r="G10" s="186">
        <f t="shared" si="2"/>
        <v>1.2104128668545846</v>
      </c>
      <c r="H10" s="184">
        <f t="shared" si="3"/>
        <v>31.165311653116532</v>
      </c>
      <c r="I10" s="186">
        <f t="shared" si="3"/>
        <v>5.578512396694224</v>
      </c>
    </row>
    <row r="11" spans="1:9" ht="12.75">
      <c r="A11" s="194" t="s">
        <v>17</v>
      </c>
      <c r="B11" s="228">
        <v>112</v>
      </c>
      <c r="C11" s="228">
        <v>103</v>
      </c>
      <c r="D11" s="228">
        <v>139</v>
      </c>
      <c r="E11" s="184">
        <f t="shared" si="0"/>
        <v>0.4371243462649286</v>
      </c>
      <c r="F11" s="185">
        <f t="shared" si="1"/>
        <v>0.24074420344053854</v>
      </c>
      <c r="G11" s="186">
        <f t="shared" si="2"/>
        <v>0.3292512494966483</v>
      </c>
      <c r="H11" s="184">
        <f t="shared" si="3"/>
        <v>-8.03571428571429</v>
      </c>
      <c r="I11" s="186">
        <f t="shared" si="3"/>
        <v>34.95145631067962</v>
      </c>
    </row>
    <row r="12" spans="1:9" ht="12.75">
      <c r="A12" s="194" t="s">
        <v>18</v>
      </c>
      <c r="B12" s="228">
        <v>18</v>
      </c>
      <c r="C12" s="228">
        <v>22</v>
      </c>
      <c r="D12" s="228">
        <v>50</v>
      </c>
      <c r="E12" s="184">
        <f t="shared" si="0"/>
        <v>0.07025212707829209</v>
      </c>
      <c r="F12" s="185">
        <f t="shared" si="1"/>
        <v>0.05142109199700823</v>
      </c>
      <c r="G12" s="186">
        <f t="shared" si="2"/>
        <v>0.11843570125778716</v>
      </c>
      <c r="H12" s="184">
        <f t="shared" si="3"/>
        <v>22.222222222222232</v>
      </c>
      <c r="I12" s="186">
        <f t="shared" si="3"/>
        <v>127.2727272727273</v>
      </c>
    </row>
    <row r="13" spans="1:9" ht="12.75">
      <c r="A13" s="194" t="s">
        <v>30</v>
      </c>
      <c r="B13" s="228">
        <v>686</v>
      </c>
      <c r="C13" s="228">
        <v>826</v>
      </c>
      <c r="D13" s="228">
        <v>1002</v>
      </c>
      <c r="E13" s="184">
        <f t="shared" si="0"/>
        <v>2.6773866208726878</v>
      </c>
      <c r="F13" s="185">
        <f t="shared" si="1"/>
        <v>1.9306282722513088</v>
      </c>
      <c r="G13" s="186">
        <f t="shared" si="2"/>
        <v>2.373451453206054</v>
      </c>
      <c r="H13" s="184">
        <f t="shared" si="3"/>
        <v>20.408163265306122</v>
      </c>
      <c r="I13" s="186">
        <f t="shared" si="3"/>
        <v>21.307506053268767</v>
      </c>
    </row>
    <row r="14" spans="1:9" ht="12.75">
      <c r="A14" s="194" t="s">
        <v>24</v>
      </c>
      <c r="B14" s="228">
        <v>282</v>
      </c>
      <c r="C14" s="228">
        <v>255</v>
      </c>
      <c r="D14" s="228">
        <v>407</v>
      </c>
      <c r="E14" s="184">
        <f t="shared" si="0"/>
        <v>1.1006166575599095</v>
      </c>
      <c r="F14" s="185">
        <f t="shared" si="1"/>
        <v>0.5960172026925953</v>
      </c>
      <c r="G14" s="186">
        <f t="shared" si="2"/>
        <v>0.9640666082383873</v>
      </c>
      <c r="H14" s="184">
        <f>((C14/B14)-1)*100</f>
        <v>-9.57446808510638</v>
      </c>
      <c r="I14" s="186">
        <f t="shared" si="3"/>
        <v>59.60784313725491</v>
      </c>
    </row>
    <row r="15" spans="1:9" ht="12.75">
      <c r="A15" s="194" t="s">
        <v>16</v>
      </c>
      <c r="B15" s="228">
        <v>597</v>
      </c>
      <c r="C15" s="228">
        <v>363</v>
      </c>
      <c r="D15" s="228">
        <v>639</v>
      </c>
      <c r="E15" s="184">
        <f t="shared" si="0"/>
        <v>2.330028881430021</v>
      </c>
      <c r="F15" s="185">
        <f t="shared" si="1"/>
        <v>0.8484480179506357</v>
      </c>
      <c r="G15" s="186">
        <f t="shared" si="2"/>
        <v>1.5136082620745197</v>
      </c>
      <c r="H15" s="184">
        <f t="shared" si="3"/>
        <v>-39.19597989949749</v>
      </c>
      <c r="I15" s="186">
        <f t="shared" si="3"/>
        <v>76.03305785123966</v>
      </c>
    </row>
    <row r="16" spans="1:9" ht="12.75">
      <c r="A16" s="194" t="s">
        <v>34</v>
      </c>
      <c r="B16" s="228">
        <v>217</v>
      </c>
      <c r="C16" s="228">
        <v>1030</v>
      </c>
      <c r="D16" s="228">
        <v>695</v>
      </c>
      <c r="E16" s="184">
        <f t="shared" si="0"/>
        <v>0.8469284208882991</v>
      </c>
      <c r="F16" s="185">
        <f t="shared" si="1"/>
        <v>2.407442034405385</v>
      </c>
      <c r="G16" s="186">
        <f t="shared" si="2"/>
        <v>1.6462562474832414</v>
      </c>
      <c r="H16" s="184">
        <f t="shared" si="3"/>
        <v>374.65437788018437</v>
      </c>
      <c r="I16" s="186">
        <f t="shared" si="3"/>
        <v>-32.52427184466019</v>
      </c>
    </row>
    <row r="17" spans="1:9" ht="12.75">
      <c r="A17" s="194" t="s">
        <v>23</v>
      </c>
      <c r="B17" s="228">
        <v>516</v>
      </c>
      <c r="C17" s="228">
        <v>848</v>
      </c>
      <c r="D17" s="228">
        <v>1870</v>
      </c>
      <c r="E17" s="184">
        <f t="shared" si="0"/>
        <v>2.0138943095777067</v>
      </c>
      <c r="F17" s="185">
        <f t="shared" si="1"/>
        <v>1.9820493642483172</v>
      </c>
      <c r="G17" s="186">
        <f t="shared" si="2"/>
        <v>4.429495227041239</v>
      </c>
      <c r="H17" s="184">
        <f t="shared" si="3"/>
        <v>64.34108527131784</v>
      </c>
      <c r="I17" s="186">
        <f t="shared" si="3"/>
        <v>120.51886792452828</v>
      </c>
    </row>
    <row r="18" spans="1:9" ht="12.75">
      <c r="A18" s="194" t="s">
        <v>38</v>
      </c>
      <c r="B18" s="228">
        <v>133</v>
      </c>
      <c r="C18" s="228">
        <v>133</v>
      </c>
      <c r="D18" s="228">
        <v>146</v>
      </c>
      <c r="E18" s="184">
        <f t="shared" si="0"/>
        <v>0.5190851611896027</v>
      </c>
      <c r="F18" s="185">
        <f t="shared" si="1"/>
        <v>0.31086387434554974</v>
      </c>
      <c r="G18" s="186">
        <f t="shared" si="2"/>
        <v>0.34583224767273846</v>
      </c>
      <c r="H18" s="184">
        <f t="shared" si="3"/>
        <v>0</v>
      </c>
      <c r="I18" s="186">
        <f t="shared" si="3"/>
        <v>9.774436090225569</v>
      </c>
    </row>
    <row r="19" spans="1:9" ht="12.75">
      <c r="A19" s="194" t="s">
        <v>15</v>
      </c>
      <c r="B19" s="228">
        <v>387</v>
      </c>
      <c r="C19" s="228">
        <v>1194</v>
      </c>
      <c r="D19" s="228">
        <v>763</v>
      </c>
      <c r="E19" s="184">
        <f t="shared" si="0"/>
        <v>1.5104207321832799</v>
      </c>
      <c r="F19" s="185">
        <f t="shared" si="1"/>
        <v>2.790762902019446</v>
      </c>
      <c r="G19" s="186">
        <f t="shared" si="2"/>
        <v>1.8073288011938318</v>
      </c>
      <c r="H19" s="184">
        <f t="shared" si="3"/>
        <v>208.52713178294576</v>
      </c>
      <c r="I19" s="186">
        <f t="shared" si="3"/>
        <v>-36.097152428810716</v>
      </c>
    </row>
    <row r="20" spans="1:9" ht="12.75">
      <c r="A20" s="194" t="s">
        <v>33</v>
      </c>
      <c r="B20" s="228">
        <v>86</v>
      </c>
      <c r="C20" s="228">
        <v>238</v>
      </c>
      <c r="D20" s="228">
        <v>72</v>
      </c>
      <c r="E20" s="184">
        <f t="shared" si="0"/>
        <v>0.33564905159628444</v>
      </c>
      <c r="F20" s="185">
        <f t="shared" si="1"/>
        <v>0.556282722513089</v>
      </c>
      <c r="G20" s="186">
        <f t="shared" si="2"/>
        <v>0.1705474098112135</v>
      </c>
      <c r="H20" s="184">
        <f t="shared" si="3"/>
        <v>176.74418604651163</v>
      </c>
      <c r="I20" s="186">
        <f t="shared" si="3"/>
        <v>-69.74789915966386</v>
      </c>
    </row>
    <row r="21" spans="1:9" ht="12.75">
      <c r="A21" s="194" t="s">
        <v>127</v>
      </c>
      <c r="B21" s="228">
        <v>69</v>
      </c>
      <c r="C21" s="228">
        <v>72</v>
      </c>
      <c r="D21" s="228">
        <v>101</v>
      </c>
      <c r="E21" s="184">
        <f t="shared" si="0"/>
        <v>0.26929982046678635</v>
      </c>
      <c r="F21" s="185">
        <f t="shared" si="1"/>
        <v>0.16828721017202694</v>
      </c>
      <c r="G21" s="186">
        <f t="shared" si="2"/>
        <v>0.23924011654073005</v>
      </c>
      <c r="H21" s="184">
        <f t="shared" si="3"/>
        <v>4.347826086956519</v>
      </c>
      <c r="I21" s="186">
        <f t="shared" si="3"/>
        <v>40.27777777777777</v>
      </c>
    </row>
    <row r="22" spans="1:9" ht="12.75">
      <c r="A22" s="194" t="s">
        <v>26</v>
      </c>
      <c r="B22" s="228">
        <v>4861</v>
      </c>
      <c r="C22" s="228">
        <v>7325</v>
      </c>
      <c r="D22" s="228">
        <v>6116</v>
      </c>
      <c r="E22" s="184">
        <f t="shared" si="0"/>
        <v>18.971977207087658</v>
      </c>
      <c r="F22" s="185">
        <f t="shared" si="1"/>
        <v>17.12088631264024</v>
      </c>
      <c r="G22" s="186">
        <f t="shared" si="2"/>
        <v>14.487054977852523</v>
      </c>
      <c r="H22" s="184">
        <f>((C22/B22)-1)*100</f>
        <v>50.68915860933964</v>
      </c>
      <c r="I22" s="186">
        <f t="shared" si="3"/>
        <v>-16.50511945392491</v>
      </c>
    </row>
    <row r="23" spans="1:9" ht="12.75">
      <c r="A23" s="194" t="s">
        <v>29</v>
      </c>
      <c r="B23" s="228">
        <v>71</v>
      </c>
      <c r="C23" s="228">
        <v>58</v>
      </c>
      <c r="D23" s="228">
        <v>157</v>
      </c>
      <c r="E23" s="184">
        <f t="shared" si="0"/>
        <v>0.27710561236437437</v>
      </c>
      <c r="F23" s="185">
        <f t="shared" si="1"/>
        <v>0.13556469708302168</v>
      </c>
      <c r="G23" s="186">
        <f t="shared" si="2"/>
        <v>0.37188810194945165</v>
      </c>
      <c r="H23" s="184">
        <f t="shared" si="3"/>
        <v>-18.309859154929576</v>
      </c>
      <c r="I23" s="186">
        <f t="shared" si="3"/>
        <v>170.68965517241378</v>
      </c>
    </row>
    <row r="24" spans="1:9" ht="12.75" customHeight="1" hidden="1">
      <c r="A24" s="194" t="s">
        <v>49</v>
      </c>
      <c r="B24" s="228"/>
      <c r="C24" s="228"/>
      <c r="D24" s="228">
        <v>9</v>
      </c>
      <c r="E24" s="184">
        <f t="shared" si="0"/>
        <v>0</v>
      </c>
      <c r="F24" s="185">
        <f t="shared" si="1"/>
        <v>0</v>
      </c>
      <c r="G24" s="186">
        <f t="shared" si="2"/>
        <v>0.021318426226401687</v>
      </c>
      <c r="H24" s="184" t="e">
        <f t="shared" si="3"/>
        <v>#DIV/0!</v>
      </c>
      <c r="I24" s="186" t="e">
        <f t="shared" si="3"/>
        <v>#DIV/0!</v>
      </c>
    </row>
    <row r="25" spans="1:9" ht="12.75" customHeight="1" hidden="1">
      <c r="A25" s="194" t="s">
        <v>46</v>
      </c>
      <c r="B25" s="228"/>
      <c r="C25" s="228"/>
      <c r="D25" s="228">
        <v>19</v>
      </c>
      <c r="E25" s="184">
        <f t="shared" si="0"/>
        <v>0</v>
      </c>
      <c r="F25" s="185">
        <f t="shared" si="1"/>
        <v>0</v>
      </c>
      <c r="G25" s="186">
        <f t="shared" si="2"/>
        <v>0.045005566477959114</v>
      </c>
      <c r="H25" s="184" t="e">
        <f t="shared" si="3"/>
        <v>#DIV/0!</v>
      </c>
      <c r="I25" s="186" t="e">
        <f t="shared" si="3"/>
        <v>#DIV/0!</v>
      </c>
    </row>
    <row r="26" spans="1:9" ht="13.5" thickBot="1">
      <c r="A26" s="195" t="s">
        <v>54</v>
      </c>
      <c r="B26" s="228">
        <v>2150</v>
      </c>
      <c r="C26" s="228">
        <v>6305</v>
      </c>
      <c r="D26" s="228">
        <v>3808</v>
      </c>
      <c r="E26" s="184">
        <f t="shared" si="0"/>
        <v>8.391226289907111</v>
      </c>
      <c r="F26" s="185">
        <f t="shared" si="1"/>
        <v>14.736817501869858</v>
      </c>
      <c r="G26" s="186">
        <f t="shared" si="2"/>
        <v>9.02006300779307</v>
      </c>
      <c r="H26" s="184">
        <f t="shared" si="3"/>
        <v>193.2558139534884</v>
      </c>
      <c r="I26" s="186">
        <f t="shared" si="3"/>
        <v>-39.603489294210945</v>
      </c>
    </row>
    <row r="27" spans="1:9" ht="12.75">
      <c r="A27" s="196" t="s">
        <v>55</v>
      </c>
      <c r="B27" s="229">
        <v>25622</v>
      </c>
      <c r="C27" s="230">
        <v>42784</v>
      </c>
      <c r="D27" s="231">
        <v>42217</v>
      </c>
      <c r="E27" s="222">
        <f t="shared" si="0"/>
        <v>100</v>
      </c>
      <c r="F27" s="223">
        <f t="shared" si="1"/>
        <v>100</v>
      </c>
      <c r="G27" s="223">
        <f t="shared" si="2"/>
        <v>100</v>
      </c>
      <c r="H27" s="222">
        <f t="shared" si="3"/>
        <v>66.98150027320271</v>
      </c>
      <c r="I27" s="224">
        <f t="shared" si="3"/>
        <v>-1.325261780104714</v>
      </c>
    </row>
    <row r="28" spans="1:9" ht="12.75">
      <c r="A28" s="196" t="s">
        <v>56</v>
      </c>
      <c r="B28" s="232">
        <v>18509</v>
      </c>
      <c r="C28" s="233">
        <v>18625</v>
      </c>
      <c r="D28" s="234">
        <v>29280</v>
      </c>
      <c r="E28" s="216">
        <f>(B28/B29)*100</f>
        <v>41.941039178808545</v>
      </c>
      <c r="F28" s="217">
        <f>C28/C29*100</f>
        <v>30.329430539497466</v>
      </c>
      <c r="G28" s="217">
        <f>D28/D29*100</f>
        <v>40.95276724897548</v>
      </c>
      <c r="H28" s="216">
        <f t="shared" si="3"/>
        <v>0.626722135177471</v>
      </c>
      <c r="I28" s="218">
        <f t="shared" si="3"/>
        <v>57.208053691275175</v>
      </c>
    </row>
    <row r="29" spans="1:9" ht="13.5" thickBot="1">
      <c r="A29" s="197" t="s">
        <v>91</v>
      </c>
      <c r="B29" s="235">
        <v>44131</v>
      </c>
      <c r="C29" s="236">
        <v>61409</v>
      </c>
      <c r="D29" s="237">
        <v>71497</v>
      </c>
      <c r="E29" s="219">
        <v>100</v>
      </c>
      <c r="F29" s="220">
        <v>100</v>
      </c>
      <c r="G29" s="220">
        <v>100</v>
      </c>
      <c r="H29" s="219">
        <f t="shared" si="3"/>
        <v>39.15161677732206</v>
      </c>
      <c r="I29" s="221">
        <f t="shared" si="3"/>
        <v>16.427559478252363</v>
      </c>
    </row>
  </sheetData>
  <sheetProtection/>
  <mergeCells count="5">
    <mergeCell ref="A1:I1"/>
    <mergeCell ref="A2:I2"/>
    <mergeCell ref="B3:D3"/>
    <mergeCell ref="E3:G3"/>
    <mergeCell ref="H3:I3"/>
  </mergeCells>
  <printOptions horizontalCentered="1"/>
  <pageMargins left="0.7480314960629921" right="0.7480314960629921" top="1.7716535433070868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21.140625" style="0" customWidth="1"/>
    <col min="2" max="4" width="8.8515625" style="0" bestFit="1" customWidth="1"/>
    <col min="5" max="7" width="6.28125" style="0" customWidth="1"/>
    <col min="8" max="9" width="9.421875" style="0" bestFit="1" customWidth="1"/>
  </cols>
  <sheetData>
    <row r="1" spans="1:9" ht="27" customHeight="1">
      <c r="A1" s="408" t="s">
        <v>308</v>
      </c>
      <c r="B1" s="408"/>
      <c r="C1" s="408"/>
      <c r="D1" s="408"/>
      <c r="E1" s="408"/>
      <c r="F1" s="408"/>
      <c r="G1" s="408"/>
      <c r="H1" s="408"/>
      <c r="I1" s="408"/>
    </row>
    <row r="2" spans="1:9" ht="13.5" thickBot="1">
      <c r="A2" s="409"/>
      <c r="B2" s="409"/>
      <c r="C2" s="409"/>
      <c r="D2" s="409"/>
      <c r="E2" s="409"/>
      <c r="F2" s="409"/>
      <c r="G2" s="409"/>
      <c r="H2" s="410"/>
      <c r="I2" s="410"/>
    </row>
    <row r="3" spans="1:9" ht="13.5" thickBot="1">
      <c r="A3" s="191"/>
      <c r="B3" s="411" t="s">
        <v>228</v>
      </c>
      <c r="C3" s="403"/>
      <c r="D3" s="404"/>
      <c r="E3" s="412" t="s">
        <v>234</v>
      </c>
      <c r="F3" s="413"/>
      <c r="G3" s="414"/>
      <c r="H3" s="411" t="s">
        <v>229</v>
      </c>
      <c r="I3" s="404"/>
    </row>
    <row r="4" spans="1:9" ht="13.5" thickBot="1">
      <c r="A4" s="192" t="s">
        <v>235</v>
      </c>
      <c r="B4" s="182">
        <v>2007</v>
      </c>
      <c r="C4" s="178">
        <v>2008</v>
      </c>
      <c r="D4" s="183">
        <v>2009</v>
      </c>
      <c r="E4" s="182">
        <v>2007</v>
      </c>
      <c r="F4" s="178">
        <v>2008</v>
      </c>
      <c r="G4" s="183">
        <v>2009</v>
      </c>
      <c r="H4" s="182" t="s">
        <v>232</v>
      </c>
      <c r="I4" s="183" t="s">
        <v>233</v>
      </c>
    </row>
    <row r="5" spans="1:9" ht="12.75">
      <c r="A5" s="193" t="s">
        <v>14</v>
      </c>
      <c r="B5" s="187">
        <v>225995</v>
      </c>
      <c r="C5" s="179">
        <v>240939</v>
      </c>
      <c r="D5" s="188">
        <v>253685</v>
      </c>
      <c r="E5" s="184">
        <f>(B5/$B$27)*100</f>
        <v>23.77903526529994</v>
      </c>
      <c r="F5" s="185">
        <f>C5/$C$27*100</f>
        <v>23.05607681435542</v>
      </c>
      <c r="G5" s="186">
        <f>D5/$D$27*100</f>
        <v>24.775377463523256</v>
      </c>
      <c r="H5" s="184">
        <f>((C5/B5)-1)*100</f>
        <v>6.612535675568054</v>
      </c>
      <c r="I5" s="186">
        <f>((D5/C5)-1)*100</f>
        <v>5.290135677495145</v>
      </c>
    </row>
    <row r="6" spans="1:9" ht="12.75">
      <c r="A6" s="194" t="s">
        <v>19</v>
      </c>
      <c r="B6" s="189">
        <v>88843</v>
      </c>
      <c r="C6" s="180">
        <v>96748</v>
      </c>
      <c r="D6" s="190">
        <v>93193</v>
      </c>
      <c r="E6" s="184">
        <f aca="true" t="shared" si="0" ref="E6:E27">(B6/$B$27)*100</f>
        <v>9.347998097635092</v>
      </c>
      <c r="F6" s="185">
        <f aca="true" t="shared" si="1" ref="F6:F27">C6/$C$27*100</f>
        <v>9.258066646060863</v>
      </c>
      <c r="G6" s="186">
        <f aca="true" t="shared" si="2" ref="G6:G27">D6/$D$27*100</f>
        <v>9.101412192120632</v>
      </c>
      <c r="H6" s="184">
        <f aca="true" t="shared" si="3" ref="H6:H29">((C6/B6)-1)*100</f>
        <v>8.89771844714835</v>
      </c>
      <c r="I6" s="186">
        <f aca="true" t="shared" si="4" ref="I6:I29">((D6/C6)-1)*100</f>
        <v>-3.6744945631951076</v>
      </c>
    </row>
    <row r="7" spans="1:9" ht="12.75">
      <c r="A7" s="194" t="s">
        <v>31</v>
      </c>
      <c r="B7" s="189">
        <v>46942</v>
      </c>
      <c r="C7" s="180">
        <v>43045</v>
      </c>
      <c r="D7" s="190">
        <v>33850</v>
      </c>
      <c r="E7" s="184">
        <f t="shared" si="0"/>
        <v>4.939204289580344</v>
      </c>
      <c r="F7" s="185">
        <f t="shared" si="1"/>
        <v>4.119087513743848</v>
      </c>
      <c r="G7" s="186">
        <f t="shared" si="2"/>
        <v>3.3058577651034238</v>
      </c>
      <c r="H7" s="184">
        <f t="shared" si="3"/>
        <v>-8.301734054791021</v>
      </c>
      <c r="I7" s="186">
        <f t="shared" si="4"/>
        <v>-21.3613660123127</v>
      </c>
    </row>
    <row r="8" spans="1:9" ht="12.75">
      <c r="A8" s="194" t="s">
        <v>21</v>
      </c>
      <c r="B8" s="189">
        <v>77931</v>
      </c>
      <c r="C8" s="180">
        <v>89755</v>
      </c>
      <c r="D8" s="190">
        <v>77805</v>
      </c>
      <c r="E8" s="184">
        <f t="shared" si="0"/>
        <v>8.199845117193254</v>
      </c>
      <c r="F8" s="185">
        <f t="shared" si="1"/>
        <v>8.588888367895901</v>
      </c>
      <c r="G8" s="186">
        <f t="shared" si="2"/>
        <v>7.598589761118816</v>
      </c>
      <c r="H8" s="184">
        <f t="shared" si="3"/>
        <v>15.172396093980577</v>
      </c>
      <c r="I8" s="186">
        <f t="shared" si="4"/>
        <v>-13.314021502980333</v>
      </c>
    </row>
    <row r="9" spans="1:9" ht="12.75">
      <c r="A9" s="194" t="s">
        <v>20</v>
      </c>
      <c r="B9" s="189">
        <v>70004</v>
      </c>
      <c r="C9" s="180">
        <v>69997</v>
      </c>
      <c r="D9" s="190">
        <v>68816</v>
      </c>
      <c r="E9" s="184">
        <f t="shared" si="0"/>
        <v>7.365771741463559</v>
      </c>
      <c r="F9" s="185">
        <f t="shared" si="1"/>
        <v>6.698194185144109</v>
      </c>
      <c r="G9" s="186">
        <f t="shared" si="2"/>
        <v>6.7207062913842615</v>
      </c>
      <c r="H9" s="184">
        <f t="shared" si="3"/>
        <v>-0.00999942860407943</v>
      </c>
      <c r="I9" s="186">
        <f t="shared" si="4"/>
        <v>-1.6872151663642754</v>
      </c>
    </row>
    <row r="10" spans="1:9" ht="12.75">
      <c r="A10" s="194" t="s">
        <v>25</v>
      </c>
      <c r="B10" s="189">
        <v>12071</v>
      </c>
      <c r="C10" s="180">
        <v>11417</v>
      </c>
      <c r="D10" s="190">
        <v>12882</v>
      </c>
      <c r="E10" s="184">
        <f t="shared" si="0"/>
        <v>1.2701021468945577</v>
      </c>
      <c r="F10" s="185">
        <f t="shared" si="1"/>
        <v>1.0925222939810317</v>
      </c>
      <c r="G10" s="186">
        <f t="shared" si="2"/>
        <v>1.2580815282145437</v>
      </c>
      <c r="H10" s="184">
        <f t="shared" si="3"/>
        <v>-5.417943832325411</v>
      </c>
      <c r="I10" s="186">
        <f t="shared" si="4"/>
        <v>12.831742138915647</v>
      </c>
    </row>
    <row r="11" spans="1:9" ht="12.75">
      <c r="A11" s="194" t="s">
        <v>17</v>
      </c>
      <c r="B11" s="189">
        <v>9571</v>
      </c>
      <c r="C11" s="180">
        <v>9394</v>
      </c>
      <c r="D11" s="190">
        <v>9192</v>
      </c>
      <c r="E11" s="184">
        <f t="shared" si="0"/>
        <v>1.0070539017420106</v>
      </c>
      <c r="F11" s="185">
        <f t="shared" si="1"/>
        <v>0.89893618548286</v>
      </c>
      <c r="G11" s="186">
        <f t="shared" si="2"/>
        <v>0.8977088501279371</v>
      </c>
      <c r="H11" s="184">
        <f t="shared" si="3"/>
        <v>-1.8493365374569026</v>
      </c>
      <c r="I11" s="186">
        <f t="shared" si="4"/>
        <v>-2.150308707685755</v>
      </c>
    </row>
    <row r="12" spans="1:9" ht="12.75">
      <c r="A12" s="194" t="s">
        <v>18</v>
      </c>
      <c r="B12" s="189">
        <v>701</v>
      </c>
      <c r="C12" s="180">
        <v>759</v>
      </c>
      <c r="D12" s="190">
        <v>3731</v>
      </c>
      <c r="E12" s="184">
        <f t="shared" si="0"/>
        <v>0.07375872794077416</v>
      </c>
      <c r="F12" s="185">
        <f t="shared" si="1"/>
        <v>0.07263067540786573</v>
      </c>
      <c r="G12" s="186">
        <f t="shared" si="2"/>
        <v>0.3643768189542356</v>
      </c>
      <c r="H12" s="184">
        <f t="shared" si="3"/>
        <v>8.273894436519269</v>
      </c>
      <c r="I12" s="186">
        <f t="shared" si="4"/>
        <v>391.5678524374177</v>
      </c>
    </row>
    <row r="13" spans="1:9" ht="12.75">
      <c r="A13" s="194" t="s">
        <v>30</v>
      </c>
      <c r="B13" s="189">
        <v>24595</v>
      </c>
      <c r="C13" s="180">
        <v>26314</v>
      </c>
      <c r="D13" s="190">
        <v>29097</v>
      </c>
      <c r="E13" s="184">
        <f t="shared" si="0"/>
        <v>2.5878686358107568</v>
      </c>
      <c r="F13" s="185">
        <f t="shared" si="1"/>
        <v>2.518054799318286</v>
      </c>
      <c r="G13" s="186">
        <f t="shared" si="2"/>
        <v>2.8416704103756083</v>
      </c>
      <c r="H13" s="184">
        <f t="shared" si="3"/>
        <v>6.989225452327719</v>
      </c>
      <c r="I13" s="186">
        <f t="shared" si="4"/>
        <v>10.57611917610397</v>
      </c>
    </row>
    <row r="14" spans="1:9" ht="12.75">
      <c r="A14" s="194" t="s">
        <v>24</v>
      </c>
      <c r="B14" s="189">
        <v>5914</v>
      </c>
      <c r="C14" s="180">
        <v>10513</v>
      </c>
      <c r="D14" s="190">
        <v>15454</v>
      </c>
      <c r="E14" s="184">
        <f t="shared" si="0"/>
        <v>0.622266928732865</v>
      </c>
      <c r="F14" s="185">
        <f t="shared" si="1"/>
        <v>1.0060161930999902</v>
      </c>
      <c r="G14" s="186">
        <f t="shared" si="2"/>
        <v>1.5092681211789754</v>
      </c>
      <c r="H14" s="184">
        <f t="shared" si="3"/>
        <v>77.76462631044978</v>
      </c>
      <c r="I14" s="186">
        <f t="shared" si="4"/>
        <v>46.99895367640066</v>
      </c>
    </row>
    <row r="15" spans="1:9" ht="12.75">
      <c r="A15" s="194" t="s">
        <v>16</v>
      </c>
      <c r="B15" s="189">
        <v>62016</v>
      </c>
      <c r="C15" s="180">
        <v>67072</v>
      </c>
      <c r="D15" s="190">
        <v>64977</v>
      </c>
      <c r="E15" s="184">
        <f t="shared" si="0"/>
        <v>6.525279988552141</v>
      </c>
      <c r="F15" s="185">
        <f t="shared" si="1"/>
        <v>6.418293360943834</v>
      </c>
      <c r="G15" s="186">
        <f t="shared" si="2"/>
        <v>6.345781979412857</v>
      </c>
      <c r="H15" s="184">
        <f t="shared" si="3"/>
        <v>8.152734778121772</v>
      </c>
      <c r="I15" s="186">
        <f t="shared" si="4"/>
        <v>-3.123509064885499</v>
      </c>
    </row>
    <row r="16" spans="1:9" ht="12.75">
      <c r="A16" s="194" t="s">
        <v>34</v>
      </c>
      <c r="B16" s="189">
        <v>12553</v>
      </c>
      <c r="C16" s="180">
        <v>13108</v>
      </c>
      <c r="D16" s="190">
        <v>8269</v>
      </c>
      <c r="E16" s="184">
        <f t="shared" si="0"/>
        <v>1.3208178485599686</v>
      </c>
      <c r="F16" s="185">
        <f t="shared" si="1"/>
        <v>1.2543384627751042</v>
      </c>
      <c r="G16" s="186">
        <f t="shared" si="2"/>
        <v>0.807566849620095</v>
      </c>
      <c r="H16" s="184">
        <f t="shared" si="3"/>
        <v>4.421253883533827</v>
      </c>
      <c r="I16" s="186">
        <f t="shared" si="4"/>
        <v>-36.91638693927373</v>
      </c>
    </row>
    <row r="17" spans="1:9" ht="12.75">
      <c r="A17" s="194" t="s">
        <v>23</v>
      </c>
      <c r="B17" s="189">
        <v>34016</v>
      </c>
      <c r="C17" s="180">
        <v>21462</v>
      </c>
      <c r="D17" s="190">
        <v>37918</v>
      </c>
      <c r="E17" s="184">
        <f t="shared" si="0"/>
        <v>3.5791396428436144</v>
      </c>
      <c r="F17" s="185">
        <f t="shared" si="1"/>
        <v>2.0537543552089783</v>
      </c>
      <c r="G17" s="186">
        <f t="shared" si="2"/>
        <v>3.703146668750122</v>
      </c>
      <c r="H17" s="184">
        <f t="shared" si="3"/>
        <v>-36.90616180620885</v>
      </c>
      <c r="I17" s="186">
        <f t="shared" si="4"/>
        <v>76.67505358307707</v>
      </c>
    </row>
    <row r="18" spans="1:9" ht="12.75">
      <c r="A18" s="194" t="s">
        <v>38</v>
      </c>
      <c r="B18" s="189">
        <v>2145</v>
      </c>
      <c r="C18" s="180">
        <v>3175</v>
      </c>
      <c r="D18" s="190">
        <v>2885</v>
      </c>
      <c r="E18" s="184">
        <f t="shared" si="0"/>
        <v>0.22569539434088526</v>
      </c>
      <c r="F18" s="185">
        <f t="shared" si="1"/>
        <v>0.3038239715678178</v>
      </c>
      <c r="G18" s="186">
        <f t="shared" si="2"/>
        <v>0.2817547903197453</v>
      </c>
      <c r="H18" s="184">
        <f t="shared" si="3"/>
        <v>48.018648018648015</v>
      </c>
      <c r="I18" s="186">
        <f t="shared" si="4"/>
        <v>-9.133858267716533</v>
      </c>
    </row>
    <row r="19" spans="1:9" ht="12.75">
      <c r="A19" s="194" t="s">
        <v>15</v>
      </c>
      <c r="B19" s="189">
        <v>13301</v>
      </c>
      <c r="C19" s="180">
        <v>16564</v>
      </c>
      <c r="D19" s="190">
        <v>15993</v>
      </c>
      <c r="E19" s="184">
        <f t="shared" si="0"/>
        <v>1.3995218835096108</v>
      </c>
      <c r="F19" s="185">
        <f t="shared" si="1"/>
        <v>1.5850520519840423</v>
      </c>
      <c r="G19" s="186">
        <f t="shared" si="2"/>
        <v>1.561907924292439</v>
      </c>
      <c r="H19" s="184">
        <f t="shared" si="3"/>
        <v>24.53199007593414</v>
      </c>
      <c r="I19" s="186">
        <f t="shared" si="4"/>
        <v>-3.447234967399182</v>
      </c>
    </row>
    <row r="20" spans="1:9" ht="12.75">
      <c r="A20" s="194" t="s">
        <v>33</v>
      </c>
      <c r="B20" s="189">
        <v>2002</v>
      </c>
      <c r="C20" s="180">
        <v>2601</v>
      </c>
      <c r="D20" s="190">
        <v>2377</v>
      </c>
      <c r="E20" s="184">
        <f t="shared" si="0"/>
        <v>0.2106490347181596</v>
      </c>
      <c r="F20" s="185">
        <f t="shared" si="1"/>
        <v>0.24889642521193517</v>
      </c>
      <c r="G20" s="186">
        <f t="shared" si="2"/>
        <v>0.23214250835009864</v>
      </c>
      <c r="H20" s="184">
        <f t="shared" si="3"/>
        <v>29.92007992007992</v>
      </c>
      <c r="I20" s="186">
        <f t="shared" si="4"/>
        <v>-8.612072279892347</v>
      </c>
    </row>
    <row r="21" spans="1:9" ht="12.75">
      <c r="A21" s="194" t="s">
        <v>127</v>
      </c>
      <c r="B21" s="189">
        <v>8783</v>
      </c>
      <c r="C21" s="180">
        <v>14359</v>
      </c>
      <c r="D21" s="190">
        <v>10133</v>
      </c>
      <c r="E21" s="184">
        <f t="shared" si="0"/>
        <v>0.9241410948699279</v>
      </c>
      <c r="F21" s="185">
        <f t="shared" si="1"/>
        <v>1.374049892202298</v>
      </c>
      <c r="G21" s="186">
        <f t="shared" si="2"/>
        <v>0.9896087661386409</v>
      </c>
      <c r="H21" s="184">
        <f t="shared" si="3"/>
        <v>63.486280314243416</v>
      </c>
      <c r="I21" s="186">
        <f t="shared" si="4"/>
        <v>-29.43101887318058</v>
      </c>
    </row>
    <row r="22" spans="1:9" ht="12.75">
      <c r="A22" s="194" t="s">
        <v>26</v>
      </c>
      <c r="B22" s="189">
        <v>128976</v>
      </c>
      <c r="C22" s="180">
        <v>144179</v>
      </c>
      <c r="D22" s="190">
        <v>142107</v>
      </c>
      <c r="E22" s="184">
        <f t="shared" si="0"/>
        <v>13.570764186717957</v>
      </c>
      <c r="F22" s="185">
        <f t="shared" si="1"/>
        <v>13.796861857220916</v>
      </c>
      <c r="G22" s="186">
        <f t="shared" si="2"/>
        <v>13.878449909174364</v>
      </c>
      <c r="H22" s="184">
        <f t="shared" si="3"/>
        <v>11.787464334449815</v>
      </c>
      <c r="I22" s="186">
        <f t="shared" si="4"/>
        <v>-1.4371024906539742</v>
      </c>
    </row>
    <row r="23" spans="1:9" ht="12.75">
      <c r="A23" s="194" t="s">
        <v>29</v>
      </c>
      <c r="B23" s="189">
        <v>2681</v>
      </c>
      <c r="C23" s="180">
        <v>2529</v>
      </c>
      <c r="D23" s="190">
        <v>3459</v>
      </c>
      <c r="E23" s="184">
        <f t="shared" si="0"/>
        <v>0.28209293810159136</v>
      </c>
      <c r="F23" s="185">
        <f t="shared" si="1"/>
        <v>0.2420065587700823</v>
      </c>
      <c r="G23" s="186">
        <f t="shared" si="2"/>
        <v>0.33781276246655073</v>
      </c>
      <c r="H23" s="184">
        <f t="shared" si="3"/>
        <v>-5.6695262961581445</v>
      </c>
      <c r="I23" s="186">
        <f t="shared" si="4"/>
        <v>36.77342823250296</v>
      </c>
    </row>
    <row r="24" spans="1:9" ht="12.75" hidden="1">
      <c r="A24" s="194" t="s">
        <v>49</v>
      </c>
      <c r="B24" s="189">
        <v>1</v>
      </c>
      <c r="C24" s="189">
        <v>0</v>
      </c>
      <c r="D24" s="190">
        <v>102</v>
      </c>
      <c r="E24" s="184">
        <f t="shared" si="0"/>
        <v>0.00010521929806101877</v>
      </c>
      <c r="F24" s="185">
        <f t="shared" si="1"/>
        <v>0</v>
      </c>
      <c r="G24" s="186">
        <f t="shared" si="2"/>
        <v>0.00996152118288181</v>
      </c>
      <c r="H24" s="184">
        <f t="shared" si="3"/>
        <v>-100</v>
      </c>
      <c r="I24" s="186" t="e">
        <f t="shared" si="4"/>
        <v>#DIV/0!</v>
      </c>
    </row>
    <row r="25" spans="1:9" ht="12.75" hidden="1">
      <c r="A25" s="194" t="s">
        <v>46</v>
      </c>
      <c r="B25" s="189">
        <v>0</v>
      </c>
      <c r="C25" s="189">
        <v>5</v>
      </c>
      <c r="D25" s="190">
        <v>392</v>
      </c>
      <c r="E25" s="184">
        <f t="shared" si="0"/>
        <v>0</v>
      </c>
      <c r="F25" s="185">
        <f t="shared" si="1"/>
        <v>0.00047846294735089416</v>
      </c>
      <c r="G25" s="186">
        <f t="shared" si="2"/>
        <v>0.03828349317342813</v>
      </c>
      <c r="H25" s="184" t="e">
        <f t="shared" si="3"/>
        <v>#DIV/0!</v>
      </c>
      <c r="I25" s="186">
        <f t="shared" si="4"/>
        <v>7740.000000000001</v>
      </c>
    </row>
    <row r="26" spans="1:9" ht="13.5" thickBot="1">
      <c r="A26" s="195" t="s">
        <v>54</v>
      </c>
      <c r="B26" s="181">
        <v>107436</v>
      </c>
      <c r="C26" s="181">
        <v>98099</v>
      </c>
      <c r="D26" s="181">
        <v>137623</v>
      </c>
      <c r="E26" s="184">
        <f t="shared" si="0"/>
        <v>11.304340506483614</v>
      </c>
      <c r="F26" s="185">
        <f t="shared" si="1"/>
        <v>9.387347334435074</v>
      </c>
      <c r="G26" s="186">
        <f t="shared" si="2"/>
        <v>13.440533625017089</v>
      </c>
      <c r="H26" s="184">
        <f t="shared" si="3"/>
        <v>-8.690755426486463</v>
      </c>
      <c r="I26" s="186">
        <f t="shared" si="4"/>
        <v>40.289911212142826</v>
      </c>
    </row>
    <row r="27" spans="1:9" ht="12.75">
      <c r="A27" s="196" t="s">
        <v>55</v>
      </c>
      <c r="B27" s="249">
        <v>950396</v>
      </c>
      <c r="C27" s="250">
        <v>1045013</v>
      </c>
      <c r="D27" s="251">
        <v>1023940</v>
      </c>
      <c r="E27" s="222">
        <f t="shared" si="0"/>
        <v>100</v>
      </c>
      <c r="F27" s="223">
        <f t="shared" si="1"/>
        <v>100</v>
      </c>
      <c r="G27" s="223">
        <f t="shared" si="2"/>
        <v>100</v>
      </c>
      <c r="H27" s="222">
        <f t="shared" si="3"/>
        <v>9.955534324639403</v>
      </c>
      <c r="I27" s="224">
        <f>((D27/C27)-1)*100</f>
        <v>-2.016529937905076</v>
      </c>
    </row>
    <row r="28" spans="1:9" ht="12.75">
      <c r="A28" s="196" t="s">
        <v>56</v>
      </c>
      <c r="B28" s="252">
        <v>354116</v>
      </c>
      <c r="C28" s="253">
        <v>356671</v>
      </c>
      <c r="D28" s="254">
        <v>344835</v>
      </c>
      <c r="E28" s="216">
        <f>B28/B29*100</f>
        <v>27.14547662267576</v>
      </c>
      <c r="F28" s="217">
        <f>C28/C29*100</f>
        <v>25.445892226778643</v>
      </c>
      <c r="G28" s="217">
        <f>D28/D29*100</f>
        <v>25.19296451206371</v>
      </c>
      <c r="H28" s="216">
        <f t="shared" si="3"/>
        <v>0.7215149837906276</v>
      </c>
      <c r="I28" s="218">
        <f t="shared" si="4"/>
        <v>-3.3184643551059656</v>
      </c>
    </row>
    <row r="29" spans="1:9" ht="13.5" thickBot="1">
      <c r="A29" s="197" t="s">
        <v>91</v>
      </c>
      <c r="B29" s="255">
        <v>1304512</v>
      </c>
      <c r="C29" s="256">
        <v>1401684</v>
      </c>
      <c r="D29" s="257">
        <v>1368775</v>
      </c>
      <c r="E29" s="219">
        <v>100</v>
      </c>
      <c r="F29" s="220">
        <v>100</v>
      </c>
      <c r="G29" s="220">
        <v>100</v>
      </c>
      <c r="H29" s="219">
        <f t="shared" si="3"/>
        <v>7.448915763135955</v>
      </c>
      <c r="I29" s="221">
        <f t="shared" si="4"/>
        <v>-2.347818766569354</v>
      </c>
    </row>
  </sheetData>
  <sheetProtection/>
  <mergeCells count="5">
    <mergeCell ref="A1:I1"/>
    <mergeCell ref="A2:I2"/>
    <mergeCell ref="B3:D3"/>
    <mergeCell ref="E3:G3"/>
    <mergeCell ref="H3:I3"/>
  </mergeCells>
  <printOptions horizontalCentered="1"/>
  <pageMargins left="0.7480314960629921" right="0.7480314960629921" top="1.96850393700787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</cp:lastModifiedBy>
  <cp:lastPrinted>2009-12-03T09:10:44Z</cp:lastPrinted>
  <dcterms:created xsi:type="dcterms:W3CDTF">1999-05-26T11:21:22Z</dcterms:created>
  <dcterms:modified xsi:type="dcterms:W3CDTF">2009-12-03T12:16:20Z</dcterms:modified>
  <cp:category/>
  <cp:version/>
  <cp:contentType/>
  <cp:contentStatus/>
</cp:coreProperties>
</file>